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251"/>
  </bookViews>
  <sheets>
    <sheet name="2020" sheetId="2" r:id="rId1"/>
  </sheets>
  <definedNames>
    <definedName name="_xlnm.Print_Area" localSheetId="0">'2020'!$B$1:$AN$20</definedName>
  </definedNames>
  <calcPr calcId="144525"/>
</workbook>
</file>

<file path=xl/calcChain.xml><?xml version="1.0" encoding="utf-8"?>
<calcChain xmlns="http://schemas.openxmlformats.org/spreadsheetml/2006/main">
  <c r="AK10" i="2" l="1"/>
  <c r="AK13" i="2"/>
  <c r="AE13" i="2"/>
  <c r="AL15" i="2" l="1"/>
  <c r="AK14" i="2"/>
  <c r="AM14" i="2" l="1"/>
  <c r="AL14" i="2"/>
  <c r="AJ14" i="2"/>
  <c r="AE19" i="2"/>
  <c r="AE18" i="2"/>
  <c r="AM12" i="2" l="1"/>
  <c r="AI14" i="2"/>
  <c r="AL17" i="2"/>
  <c r="AE17" i="2" s="1"/>
  <c r="AL16" i="2"/>
  <c r="AK16" i="2"/>
  <c r="AH16" i="2"/>
  <c r="AG16" i="2"/>
  <c r="AM15" i="2"/>
  <c r="AJ15" i="2"/>
  <c r="AG14" i="2"/>
  <c r="AN14" i="2"/>
  <c r="AF14" i="2"/>
  <c r="AI12" i="2"/>
  <c r="AH12" i="2"/>
  <c r="AE16" i="2" l="1"/>
  <c r="AE15" i="2"/>
  <c r="AE12" i="2"/>
  <c r="AE14" i="2"/>
  <c r="AN11" i="2" l="1"/>
  <c r="AN10" i="2" s="1"/>
  <c r="AM11" i="2"/>
  <c r="AM10" i="2" s="1"/>
  <c r="AL11" i="2"/>
  <c r="AL10" i="2" s="1"/>
  <c r="AK11" i="2"/>
  <c r="AJ11" i="2"/>
  <c r="AJ10" i="2" s="1"/>
  <c r="AI11" i="2"/>
  <c r="AI10" i="2" s="1"/>
  <c r="AH11" i="2"/>
  <c r="AH10" i="2" s="1"/>
  <c r="AG11" i="2"/>
  <c r="AG10" i="2" s="1"/>
  <c r="AF11" i="2"/>
  <c r="AF10" i="2" s="1"/>
  <c r="AF20" i="2" s="1"/>
  <c r="AE26" i="2"/>
  <c r="AE22" i="2"/>
  <c r="AL24" i="2" s="1"/>
  <c r="AL22" i="2" s="1"/>
  <c r="AG24" i="2" l="1"/>
  <c r="AG22" i="2" s="1"/>
  <c r="AK24" i="2"/>
  <c r="AK22" i="2" s="1"/>
  <c r="AH24" i="2"/>
  <c r="AE11" i="2"/>
  <c r="AI24" i="2"/>
  <c r="AI22" i="2" s="1"/>
  <c r="AM24" i="2"/>
  <c r="AM22" i="2" s="1"/>
  <c r="AH22" i="2"/>
  <c r="AF24" i="2"/>
  <c r="AF22" i="2" s="1"/>
  <c r="AJ24" i="2"/>
  <c r="AJ22" i="2" s="1"/>
  <c r="AN24" i="2"/>
  <c r="AN22" i="2" s="1"/>
  <c r="AN20" i="2"/>
  <c r="AM20" i="2"/>
  <c r="AK20" i="2"/>
  <c r="AJ20" i="2"/>
  <c r="AI20" i="2"/>
  <c r="AH20" i="2"/>
  <c r="AG20" i="2"/>
  <c r="AL20" i="2" l="1"/>
  <c r="AE20" i="2" s="1"/>
  <c r="AE10" i="2" l="1"/>
  <c r="N20" i="2" l="1"/>
  <c r="M20" i="2"/>
  <c r="L20" i="2"/>
  <c r="K20" i="2"/>
  <c r="I20" i="2"/>
  <c r="H20" i="2"/>
  <c r="G20" i="2"/>
  <c r="F20" i="2"/>
  <c r="AD9" i="2"/>
  <c r="AC9" i="2"/>
  <c r="AB9" i="2"/>
  <c r="AA9" i="2"/>
  <c r="Y9" i="2"/>
  <c r="X9" i="2"/>
  <c r="W9" i="2"/>
  <c r="V9" i="2"/>
  <c r="AD8" i="2"/>
  <c r="AC8" i="2"/>
  <c r="AB8" i="2"/>
  <c r="AA8" i="2"/>
  <c r="Z8" i="2"/>
  <c r="Y8" i="2"/>
  <c r="X8" i="2"/>
  <c r="W8" i="2"/>
  <c r="V8" i="2"/>
  <c r="U10" i="2"/>
  <c r="E8" i="2" l="1"/>
  <c r="T20" i="2"/>
  <c r="S20" i="2"/>
  <c r="R20" i="2"/>
  <c r="Q20" i="2"/>
  <c r="P20" i="2"/>
  <c r="O20" i="2"/>
  <c r="E10" i="2"/>
  <c r="AD20" i="2"/>
  <c r="AC20" i="2"/>
  <c r="AB20" i="2"/>
  <c r="AA20" i="2"/>
  <c r="Y20" i="2"/>
  <c r="X20" i="2"/>
  <c r="W20" i="2"/>
  <c r="V20" i="2"/>
  <c r="J9" i="2"/>
  <c r="AE8" i="2"/>
  <c r="U8" i="2"/>
  <c r="J20" i="2" l="1"/>
  <c r="Z9" i="2"/>
  <c r="Z20" i="2" s="1"/>
  <c r="E9" i="2"/>
  <c r="E20" i="2"/>
  <c r="U20" i="2"/>
  <c r="AE9" i="2"/>
  <c r="U9" i="2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освещение
</t>
        </r>
      </text>
    </comment>
    <comment ref="A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освещение+ремонт памятника</t>
        </r>
      </text>
    </comment>
    <comment ref="AH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освещение</t>
        </r>
      </text>
    </comment>
    <comment ref="A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освещение
</t>
        </r>
      </text>
    </comment>
    <comment ref="A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<sst xmlns="http://schemas.openxmlformats.org/spreadsheetml/2006/main" count="72" uniqueCount="50">
  <si>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</si>
  <si>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</si>
  <si>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</si>
  <si>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</si>
  <si>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</si>
  <si>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</si>
  <si>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</si>
  <si>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</si>
  <si>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</si>
  <si>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</si>
  <si>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</si>
  <si>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</si>
  <si>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</si>
  <si>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</si>
  <si>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</si>
  <si>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</si>
  <si>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</si>
  <si>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</si>
  <si>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</si>
  <si>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</si>
  <si>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</si>
  <si>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</si>
  <si>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</si>
  <si>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</si>
  <si>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</si>
  <si>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</si>
  <si>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</si>
  <si>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</si>
  <si>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</si>
  <si>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</si>
  <si>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Распределение межбюджетных трансфертов бюджетам сельских поселений МО  "Усть-Коксинский район" РА на 2020 год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</si>
  <si>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2020 год и плановый период 2021 и 2022 годов»
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</si>
  <si>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</si>
  <si>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3.2</t>
  </si>
  <si>
    <t>3.3</t>
  </si>
  <si>
    <t>3.4</t>
  </si>
  <si>
    <t>Иные межбюджетные трансферты на организацию благоустройства территории сельского поселения</t>
  </si>
  <si>
    <t>3.5</t>
  </si>
  <si>
    <t>3.6</t>
  </si>
  <si>
    <t>3.7</t>
  </si>
  <si>
    <t>Иные межбюджетные трансферты на содержание имущества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</si>
  <si>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</si>
  <si>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Иные межбюджетные трансферты на приобретение энергоресурсов</t>
  </si>
  <si>
    <t>освещение+ремонт памятника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</si>
  <si>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</si>
  <si>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3.8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</si>
  <si>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</si>
  <si>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Приложение 15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2020 год   и плановый период 2021 и 2022 годов»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</si>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</sst>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name val="MS Sans Serif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3" fillId="0" borderId="0">
      <alignment vertical="top"/>
    </xf>
  </cellStyleXfs>
  <cellXfs count="101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0" fontId="2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53"/>
  <sheetViews>
    <sheetView tabSelected="1" view="pageBreakPreview" topLeftCell="B17" zoomScale="75" zoomScaleNormal="75" zoomScaleSheetLayoutView="75" workbookViewId="0">
      <selection activeCell="AF19" sqref="AF19"/>
    </sheetView>
  </sheetViews>
  <sheetFormatPr defaultColWidth="8" defaultRowHeight="13.2" x14ac:dyDescent="0.25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6.5546875" style="1" bestFit="1" customWidth="1"/>
    <col min="32" max="35" width="15.109375" style="1" bestFit="1" customWidth="1"/>
    <col min="36" max="36" width="16.88671875" style="1" customWidth="1"/>
    <col min="37" max="39" width="15.109375" style="1" bestFit="1" customWidth="1"/>
    <col min="40" max="40" width="15.109375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ht="67.95" customHeight="1" x14ac:dyDescent="0.25">
      <c r="B1" s="58"/>
      <c r="C1" s="3"/>
      <c r="D1" s="4"/>
      <c r="AK1" s="91" t="s">
        <v>47</v>
      </c>
      <c r="AL1" s="91"/>
      <c r="AM1" s="91"/>
      <c r="AN1" s="91"/>
    </row>
    <row r="2" spans="1:145" s="1" customFormat="1" ht="67.2" customHeight="1" x14ac:dyDescent="0.25">
      <c r="B2" s="2"/>
      <c r="C2" s="3"/>
      <c r="D2" s="4"/>
      <c r="E2" s="3"/>
      <c r="F2" s="3"/>
      <c r="G2" s="3"/>
      <c r="H2" s="3"/>
      <c r="I2" s="5"/>
      <c r="J2" s="5"/>
      <c r="K2" s="92"/>
      <c r="L2" s="92"/>
      <c r="M2" s="92"/>
      <c r="N2" s="92"/>
      <c r="O2" s="6"/>
      <c r="P2" s="6"/>
      <c r="Q2" s="6"/>
      <c r="AK2" s="92" t="s">
        <v>31</v>
      </c>
      <c r="AL2" s="92"/>
      <c r="AM2" s="92"/>
      <c r="AN2" s="92"/>
    </row>
    <row r="3" spans="1:145" s="1" customFormat="1" ht="17.399999999999999" x14ac:dyDescent="0.3">
      <c r="A3" s="6"/>
      <c r="B3" s="96" t="s">
        <v>30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</row>
    <row r="4" spans="1:145" s="1" customFormat="1" ht="15.6" x14ac:dyDescent="0.3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5"/>
      <c r="O4" s="7"/>
      <c r="P4" s="7"/>
      <c r="Q4" s="7"/>
      <c r="AN4" s="26" t="s">
        <v>18</v>
      </c>
    </row>
    <row r="5" spans="1:145" s="1" customFormat="1" ht="27.6" customHeight="1" thickBot="1" x14ac:dyDescent="0.35">
      <c r="B5" s="93"/>
      <c r="C5" s="94" t="s">
        <v>0</v>
      </c>
      <c r="D5" s="10"/>
      <c r="E5" s="95" t="s">
        <v>24</v>
      </c>
      <c r="F5" s="95"/>
      <c r="G5" s="95"/>
      <c r="H5" s="95"/>
      <c r="I5" s="95"/>
      <c r="J5" s="95"/>
      <c r="K5" s="95"/>
      <c r="L5" s="95"/>
      <c r="M5" s="95"/>
      <c r="N5" s="95"/>
      <c r="O5" s="7"/>
      <c r="P5" s="7"/>
      <c r="Q5" s="7"/>
      <c r="U5" s="97" t="s">
        <v>25</v>
      </c>
      <c r="V5" s="97"/>
      <c r="W5" s="97"/>
      <c r="X5" s="97"/>
      <c r="Y5" s="97"/>
      <c r="Z5" s="97"/>
      <c r="AA5" s="97"/>
      <c r="AB5" s="97"/>
      <c r="AC5" s="97"/>
      <c r="AD5" s="97"/>
      <c r="AE5" s="98" t="s">
        <v>26</v>
      </c>
      <c r="AF5" s="98"/>
      <c r="AG5" s="98"/>
      <c r="AH5" s="98"/>
      <c r="AI5" s="98"/>
      <c r="AJ5" s="98"/>
      <c r="AK5" s="98"/>
      <c r="AL5" s="98"/>
      <c r="AM5" s="98"/>
      <c r="AN5" s="98"/>
    </row>
    <row r="6" spans="1:145" s="17" customFormat="1" ht="51" customHeight="1" thickBot="1" x14ac:dyDescent="0.4">
      <c r="A6" s="12"/>
      <c r="B6" s="93"/>
      <c r="C6" s="94"/>
      <c r="D6" s="99" t="s">
        <v>1</v>
      </c>
      <c r="E6" s="54" t="s">
        <v>8</v>
      </c>
      <c r="F6" s="56" t="s">
        <v>9</v>
      </c>
      <c r="G6" s="56" t="s">
        <v>10</v>
      </c>
      <c r="H6" s="56" t="s">
        <v>11</v>
      </c>
      <c r="I6" s="56" t="s">
        <v>12</v>
      </c>
      <c r="J6" s="56" t="s">
        <v>13</v>
      </c>
      <c r="K6" s="56" t="s">
        <v>14</v>
      </c>
      <c r="L6" s="56" t="s">
        <v>15</v>
      </c>
      <c r="M6" s="56" t="s">
        <v>19</v>
      </c>
      <c r="N6" s="56" t="s">
        <v>17</v>
      </c>
      <c r="O6" s="53" t="s">
        <v>16</v>
      </c>
      <c r="P6" s="48" t="s">
        <v>17</v>
      </c>
      <c r="Q6" s="13" t="s">
        <v>2</v>
      </c>
      <c r="R6" s="14"/>
      <c r="S6" s="15"/>
      <c r="T6" s="12"/>
      <c r="U6" s="54" t="s">
        <v>8</v>
      </c>
      <c r="V6" s="56" t="s">
        <v>9</v>
      </c>
      <c r="W6" s="56" t="s">
        <v>10</v>
      </c>
      <c r="X6" s="56" t="s">
        <v>11</v>
      </c>
      <c r="Y6" s="56" t="s">
        <v>12</v>
      </c>
      <c r="Z6" s="56" t="s">
        <v>13</v>
      </c>
      <c r="AA6" s="56" t="s">
        <v>14</v>
      </c>
      <c r="AB6" s="56" t="s">
        <v>15</v>
      </c>
      <c r="AC6" s="56" t="s">
        <v>19</v>
      </c>
      <c r="AD6" s="56" t="s">
        <v>17</v>
      </c>
      <c r="AE6" s="81" t="s">
        <v>8</v>
      </c>
      <c r="AF6" s="82" t="s">
        <v>9</v>
      </c>
      <c r="AG6" s="82" t="s">
        <v>10</v>
      </c>
      <c r="AH6" s="82" t="s">
        <v>11</v>
      </c>
      <c r="AI6" s="82" t="s">
        <v>12</v>
      </c>
      <c r="AJ6" s="82" t="s">
        <v>13</v>
      </c>
      <c r="AK6" s="82" t="s">
        <v>14</v>
      </c>
      <c r="AL6" s="82" t="s">
        <v>15</v>
      </c>
      <c r="AM6" s="82" t="s">
        <v>19</v>
      </c>
      <c r="AN6" s="82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 x14ac:dyDescent="0.35">
      <c r="A7" s="18"/>
      <c r="B7" s="19" t="s">
        <v>3</v>
      </c>
      <c r="C7" s="20" t="s">
        <v>4</v>
      </c>
      <c r="D7" s="100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86.25" customHeight="1" x14ac:dyDescent="0.25">
      <c r="A8" s="30"/>
      <c r="B8" s="31" t="s">
        <v>5</v>
      </c>
      <c r="C8" s="57" t="s">
        <v>20</v>
      </c>
      <c r="D8" s="32"/>
      <c r="E8" s="59">
        <f>SUM(F8:N8)</f>
        <v>6764100</v>
      </c>
      <c r="F8" s="60">
        <v>608070</v>
      </c>
      <c r="G8" s="60">
        <v>898610</v>
      </c>
      <c r="H8" s="60">
        <v>402250</v>
      </c>
      <c r="I8" s="60">
        <v>333500</v>
      </c>
      <c r="J8" s="60">
        <v>588430</v>
      </c>
      <c r="K8" s="60">
        <v>599890</v>
      </c>
      <c r="L8" s="60">
        <v>512320</v>
      </c>
      <c r="M8" s="60">
        <v>2289890</v>
      </c>
      <c r="N8" s="60">
        <v>531140</v>
      </c>
      <c r="O8" s="33"/>
      <c r="P8" s="34"/>
      <c r="Q8" s="34"/>
      <c r="R8" s="34"/>
      <c r="S8" s="34"/>
      <c r="T8" s="35"/>
      <c r="U8" s="59">
        <f>SUM(V8:AD8)</f>
        <v>-157600</v>
      </c>
      <c r="V8" s="60">
        <f t="shared" ref="V8:V9" si="0">AF8-F8</f>
        <v>255590</v>
      </c>
      <c r="W8" s="60">
        <f t="shared" ref="W8:W9" si="1">AG8-G8</f>
        <v>-445040</v>
      </c>
      <c r="X8" s="60">
        <f t="shared" ref="X8:X9" si="2">AH8-H8</f>
        <v>-179840</v>
      </c>
      <c r="Y8" s="60">
        <f t="shared" ref="Y8:Y9" si="3">AI8-I8</f>
        <v>1029340</v>
      </c>
      <c r="Z8" s="60">
        <f t="shared" ref="Z8:Z9" si="4">AJ8-J8</f>
        <v>749280</v>
      </c>
      <c r="AA8" s="60">
        <f t="shared" ref="AA8:AA9" si="5">AK8-K8</f>
        <v>28530</v>
      </c>
      <c r="AB8" s="60">
        <f t="shared" ref="AB8:AB9" si="6">AL8-L8</f>
        <v>613770</v>
      </c>
      <c r="AC8" s="60">
        <f t="shared" ref="AC8:AC9" si="7">AM8-M8</f>
        <v>-2289890</v>
      </c>
      <c r="AD8" s="60">
        <f t="shared" ref="AD8:AD9" si="8">AN8-N8</f>
        <v>80660</v>
      </c>
      <c r="AE8" s="75">
        <f t="shared" ref="AE8:AE19" si="9">SUM(AF8:AN8)</f>
        <v>6606500</v>
      </c>
      <c r="AF8" s="76">
        <v>863660</v>
      </c>
      <c r="AG8" s="76">
        <v>453570</v>
      </c>
      <c r="AH8" s="76">
        <v>222410</v>
      </c>
      <c r="AI8" s="76">
        <v>1362840</v>
      </c>
      <c r="AJ8" s="76">
        <v>1337710</v>
      </c>
      <c r="AK8" s="76">
        <v>628420</v>
      </c>
      <c r="AL8" s="76">
        <v>1126090</v>
      </c>
      <c r="AM8" s="76">
        <v>0</v>
      </c>
      <c r="AN8" s="76">
        <v>611800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91.95" customHeight="1" x14ac:dyDescent="0.25">
      <c r="A9" s="30"/>
      <c r="B9" s="39" t="s">
        <v>6</v>
      </c>
      <c r="C9" s="57" t="s">
        <v>21</v>
      </c>
      <c r="D9" s="61"/>
      <c r="E9" s="59">
        <f>SUM(F9:N9)</f>
        <v>17093700</v>
      </c>
      <c r="F9" s="60">
        <v>2247500</v>
      </c>
      <c r="G9" s="60">
        <v>2164000</v>
      </c>
      <c r="H9" s="60">
        <v>1955500</v>
      </c>
      <c r="I9" s="60">
        <v>1767000</v>
      </c>
      <c r="J9" s="60">
        <f>2728500-650000</f>
        <v>2078500</v>
      </c>
      <c r="K9" s="60">
        <v>2492500</v>
      </c>
      <c r="L9" s="60">
        <v>1158000</v>
      </c>
      <c r="M9" s="60">
        <v>1229200</v>
      </c>
      <c r="N9" s="60">
        <v>2001500</v>
      </c>
      <c r="O9" s="40"/>
      <c r="P9" s="41"/>
      <c r="Q9" s="41"/>
      <c r="R9" s="38"/>
      <c r="S9" s="38"/>
      <c r="T9" s="42"/>
      <c r="U9" s="59">
        <f>SUM(V9:AD9)</f>
        <v>0</v>
      </c>
      <c r="V9" s="60">
        <f t="shared" si="0"/>
        <v>-319540</v>
      </c>
      <c r="W9" s="60">
        <f t="shared" si="1"/>
        <v>352560</v>
      </c>
      <c r="X9" s="60">
        <f t="shared" si="2"/>
        <v>172030</v>
      </c>
      <c r="Y9" s="60">
        <f t="shared" si="3"/>
        <v>-1130180</v>
      </c>
      <c r="Z9" s="60">
        <f t="shared" si="4"/>
        <v>-878760</v>
      </c>
      <c r="AA9" s="60">
        <f t="shared" si="5"/>
        <v>264690</v>
      </c>
      <c r="AB9" s="60">
        <f t="shared" si="6"/>
        <v>-639350</v>
      </c>
      <c r="AC9" s="60">
        <f t="shared" si="7"/>
        <v>2208030</v>
      </c>
      <c r="AD9" s="60">
        <f t="shared" si="8"/>
        <v>-29480</v>
      </c>
      <c r="AE9" s="75">
        <f t="shared" si="9"/>
        <v>17093700</v>
      </c>
      <c r="AF9" s="76">
        <v>1927960</v>
      </c>
      <c r="AG9" s="76">
        <v>2516560</v>
      </c>
      <c r="AH9" s="76">
        <v>2127530</v>
      </c>
      <c r="AI9" s="76">
        <v>636820</v>
      </c>
      <c r="AJ9" s="76">
        <v>1199740</v>
      </c>
      <c r="AK9" s="76">
        <v>2757190</v>
      </c>
      <c r="AL9" s="76">
        <v>518650</v>
      </c>
      <c r="AM9" s="76">
        <v>3437230</v>
      </c>
      <c r="AN9" s="76">
        <v>1972020</v>
      </c>
      <c r="AO9" s="36"/>
      <c r="AP9" s="36"/>
      <c r="AQ9" s="36"/>
      <c r="AR9" s="36"/>
      <c r="AS9" s="36"/>
      <c r="AT9" s="36"/>
      <c r="AU9" s="71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4" customHeight="1" x14ac:dyDescent="0.25">
      <c r="A10" s="30"/>
      <c r="B10" s="62" t="s">
        <v>7</v>
      </c>
      <c r="C10" s="63" t="s">
        <v>23</v>
      </c>
      <c r="D10" s="64"/>
      <c r="E10" s="65">
        <f>SUM(F10:N10)</f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8"/>
      <c r="Q10" s="68"/>
      <c r="R10" s="68"/>
      <c r="S10" s="68"/>
      <c r="T10" s="69"/>
      <c r="U10" s="65">
        <f>SUM(V10:AD10)</f>
        <v>0</v>
      </c>
      <c r="V10" s="66"/>
      <c r="W10" s="66"/>
      <c r="X10" s="66"/>
      <c r="Y10" s="66"/>
      <c r="Z10" s="66"/>
      <c r="AA10" s="66"/>
      <c r="AB10" s="66"/>
      <c r="AC10" s="66"/>
      <c r="AD10" s="66"/>
      <c r="AE10" s="65">
        <f t="shared" si="9"/>
        <v>15970380.310000001</v>
      </c>
      <c r="AF10" s="66">
        <f>SUM(AF11:AF19)</f>
        <v>1989100</v>
      </c>
      <c r="AG10" s="66">
        <f t="shared" ref="AG10:AN10" si="10">SUM(AG11:AG19)</f>
        <v>2090654</v>
      </c>
      <c r="AH10" s="66">
        <f t="shared" si="10"/>
        <v>1332123.1299999999</v>
      </c>
      <c r="AI10" s="66">
        <f t="shared" si="10"/>
        <v>1423875.98</v>
      </c>
      <c r="AJ10" s="66">
        <f t="shared" si="10"/>
        <v>1786640</v>
      </c>
      <c r="AK10" s="66">
        <f>SUM(AK11:AK19)</f>
        <v>1834998.8</v>
      </c>
      <c r="AL10" s="66">
        <f t="shared" si="10"/>
        <v>1629448.4</v>
      </c>
      <c r="AM10" s="66">
        <f t="shared" si="10"/>
        <v>3191642</v>
      </c>
      <c r="AN10" s="66">
        <f t="shared" si="10"/>
        <v>691898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80" customFormat="1" ht="55.5" customHeight="1" x14ac:dyDescent="0.25">
      <c r="A11" s="72"/>
      <c r="B11" s="73" t="s">
        <v>28</v>
      </c>
      <c r="C11" s="70" t="s">
        <v>27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75">
        <f t="shared" si="9"/>
        <v>12166700</v>
      </c>
      <c r="AF11" s="76">
        <f>1321100+239100+AF26</f>
        <v>1833500</v>
      </c>
      <c r="AG11" s="60">
        <f>1382350+AG26</f>
        <v>1770000</v>
      </c>
      <c r="AH11" s="60">
        <f>734100+AH26</f>
        <v>909800</v>
      </c>
      <c r="AI11" s="60">
        <f>1000650+AI26</f>
        <v>1180990</v>
      </c>
      <c r="AJ11" s="60">
        <f>836300+AJ26</f>
        <v>1135640</v>
      </c>
      <c r="AK11" s="60">
        <f>1302300+AK26</f>
        <v>1600710</v>
      </c>
      <c r="AL11" s="60">
        <f>158900+968400+AL26</f>
        <v>1317870</v>
      </c>
      <c r="AM11" s="60">
        <f>1476900+AM26</f>
        <v>1760430</v>
      </c>
      <c r="AN11" s="60">
        <f>498800+AN26</f>
        <v>657760</v>
      </c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79.95" customHeight="1" x14ac:dyDescent="0.25">
      <c r="A12" s="72"/>
      <c r="B12" s="73" t="s">
        <v>33</v>
      </c>
      <c r="C12" s="83" t="s">
        <v>32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75">
        <f t="shared" si="9"/>
        <v>776947</v>
      </c>
      <c r="AF12" s="76"/>
      <c r="AG12" s="76"/>
      <c r="AH12" s="76">
        <f>20000</f>
        <v>20000</v>
      </c>
      <c r="AI12" s="76">
        <f>146421</f>
        <v>146421</v>
      </c>
      <c r="AJ12" s="76"/>
      <c r="AK12" s="76"/>
      <c r="AL12" s="76"/>
      <c r="AM12" s="76">
        <f>238366+180000+192160</f>
        <v>610526</v>
      </c>
      <c r="AN12" s="76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79.95" customHeight="1" x14ac:dyDescent="0.25">
      <c r="A13" s="72"/>
      <c r="B13" s="73" t="s">
        <v>34</v>
      </c>
      <c r="C13" s="83" t="s">
        <v>48</v>
      </c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5">
        <f t="shared" si="9"/>
        <v>73852</v>
      </c>
      <c r="AF13" s="76"/>
      <c r="AG13" s="76"/>
      <c r="AH13" s="76"/>
      <c r="AI13" s="76"/>
      <c r="AJ13" s="76"/>
      <c r="AK13" s="76">
        <f>73852</f>
        <v>73852</v>
      </c>
      <c r="AL13" s="76"/>
      <c r="AM13" s="76"/>
      <c r="AN13" s="76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51" customHeight="1" x14ac:dyDescent="0.25">
      <c r="A14" s="72"/>
      <c r="B14" s="73" t="s">
        <v>35</v>
      </c>
      <c r="C14" s="83" t="s">
        <v>36</v>
      </c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5">
        <f t="shared" si="9"/>
        <v>1270498.78</v>
      </c>
      <c r="AF14" s="76">
        <f>155600</f>
        <v>155600</v>
      </c>
      <c r="AG14" s="76">
        <f>50654+70000</f>
        <v>120654</v>
      </c>
      <c r="AH14" s="76">
        <v>18000</v>
      </c>
      <c r="AI14" s="76">
        <f>96464.98</f>
        <v>96464.98</v>
      </c>
      <c r="AJ14" s="76">
        <f>21000</f>
        <v>21000</v>
      </c>
      <c r="AK14" s="76">
        <f>30436.8+10000</f>
        <v>40436.800000000003</v>
      </c>
      <c r="AL14" s="76">
        <f>131473</f>
        <v>131473</v>
      </c>
      <c r="AM14" s="76">
        <f>562732+90000</f>
        <v>652732</v>
      </c>
      <c r="AN14" s="76">
        <f>34138</f>
        <v>34138</v>
      </c>
      <c r="AO14" s="71" t="s">
        <v>43</v>
      </c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36.75" customHeight="1" x14ac:dyDescent="0.25">
      <c r="A15" s="72"/>
      <c r="B15" s="73" t="s">
        <v>37</v>
      </c>
      <c r="C15" s="83" t="s">
        <v>40</v>
      </c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5">
        <f t="shared" si="9"/>
        <v>757954</v>
      </c>
      <c r="AF15" s="76"/>
      <c r="AG15" s="76"/>
      <c r="AH15" s="76"/>
      <c r="AI15" s="76"/>
      <c r="AJ15" s="76">
        <f>600000</f>
        <v>600000</v>
      </c>
      <c r="AK15" s="76"/>
      <c r="AL15" s="76">
        <f>20000+20000</f>
        <v>40000</v>
      </c>
      <c r="AM15" s="76">
        <f>117954</f>
        <v>117954</v>
      </c>
      <c r="AN15" s="76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47.25" customHeight="1" x14ac:dyDescent="0.25">
      <c r="A16" s="72"/>
      <c r="B16" s="73" t="s">
        <v>38</v>
      </c>
      <c r="C16" s="83" t="s">
        <v>42</v>
      </c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5">
        <f t="shared" si="9"/>
        <v>726323.13</v>
      </c>
      <c r="AF16" s="76"/>
      <c r="AG16" s="76">
        <f>200000</f>
        <v>200000</v>
      </c>
      <c r="AH16" s="76">
        <f>384323.13</f>
        <v>384323.13</v>
      </c>
      <c r="AI16" s="76"/>
      <c r="AJ16" s="76"/>
      <c r="AK16" s="76">
        <f>100000</f>
        <v>100000</v>
      </c>
      <c r="AL16" s="76">
        <f>42000</f>
        <v>42000</v>
      </c>
      <c r="AM16" s="76"/>
      <c r="AN16" s="76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32.75" customHeight="1" x14ac:dyDescent="0.25">
      <c r="A17" s="72"/>
      <c r="B17" s="73" t="s">
        <v>39</v>
      </c>
      <c r="C17" s="83" t="s">
        <v>41</v>
      </c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5">
        <f t="shared" si="9"/>
        <v>18105.400000000001</v>
      </c>
      <c r="AF17" s="76"/>
      <c r="AG17" s="76"/>
      <c r="AH17" s="76"/>
      <c r="AI17" s="76"/>
      <c r="AJ17" s="76"/>
      <c r="AK17" s="76"/>
      <c r="AL17" s="76">
        <f>18105.4</f>
        <v>18105.400000000001</v>
      </c>
      <c r="AM17" s="76"/>
      <c r="AN17" s="76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181.8" customHeight="1" x14ac:dyDescent="0.25">
      <c r="A18" s="72"/>
      <c r="B18" s="73" t="s">
        <v>45</v>
      </c>
      <c r="C18" s="90" t="s">
        <v>44</v>
      </c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5">
        <f t="shared" si="9"/>
        <v>60000</v>
      </c>
      <c r="AF18" s="76"/>
      <c r="AG18" s="76"/>
      <c r="AH18" s="76"/>
      <c r="AI18" s="76"/>
      <c r="AJ18" s="76"/>
      <c r="AK18" s="76"/>
      <c r="AL18" s="76">
        <v>60000</v>
      </c>
      <c r="AM18" s="76"/>
      <c r="AN18" s="76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80" customFormat="1" ht="103.2" customHeight="1" x14ac:dyDescent="0.25">
      <c r="A19" s="72"/>
      <c r="B19" s="73" t="s">
        <v>49</v>
      </c>
      <c r="C19" s="83" t="s">
        <v>46</v>
      </c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/>
      <c r="Q19" s="78"/>
      <c r="R19" s="78"/>
      <c r="S19" s="78"/>
      <c r="T19" s="79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5">
        <f t="shared" si="9"/>
        <v>120000</v>
      </c>
      <c r="AF19" s="76"/>
      <c r="AG19" s="76"/>
      <c r="AH19" s="76"/>
      <c r="AI19" s="76"/>
      <c r="AJ19" s="76">
        <v>30000</v>
      </c>
      <c r="AK19" s="76">
        <v>20000</v>
      </c>
      <c r="AL19" s="76">
        <v>20000</v>
      </c>
      <c r="AM19" s="76">
        <v>50000</v>
      </c>
      <c r="AN19" s="76"/>
      <c r="AO19" s="71"/>
      <c r="AP19" s="71"/>
      <c r="AQ19" s="89" t="s">
        <v>44</v>
      </c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</row>
    <row r="20" spans="1:145" s="29" customFormat="1" ht="46.5" customHeight="1" x14ac:dyDescent="0.35">
      <c r="A20" s="28"/>
      <c r="B20" s="49"/>
      <c r="C20" s="50" t="s">
        <v>22</v>
      </c>
      <c r="D20" s="51"/>
      <c r="E20" s="59" t="e">
        <f>SUM(F20:N20)</f>
        <v>#REF!</v>
      </c>
      <c r="F20" s="52" t="e">
        <f>F8+F9+#REF!+F10</f>
        <v>#REF!</v>
      </c>
      <c r="G20" s="52" t="e">
        <f>G8+G9+#REF!+G10</f>
        <v>#REF!</v>
      </c>
      <c r="H20" s="52" t="e">
        <f>H8+H9+#REF!+H10</f>
        <v>#REF!</v>
      </c>
      <c r="I20" s="52" t="e">
        <f>I8+I9+#REF!+I10</f>
        <v>#REF!</v>
      </c>
      <c r="J20" s="52" t="e">
        <f>J8+J9+#REF!+J10</f>
        <v>#REF!</v>
      </c>
      <c r="K20" s="52" t="e">
        <f>K8+K9+#REF!+K10</f>
        <v>#REF!</v>
      </c>
      <c r="L20" s="52" t="e">
        <f>L8+L9+#REF!+L10</f>
        <v>#REF!</v>
      </c>
      <c r="M20" s="52" t="e">
        <f>M8+M9+#REF!+M10</f>
        <v>#REF!</v>
      </c>
      <c r="N20" s="52" t="e">
        <f>N8+N9+#REF!+N10</f>
        <v>#REF!</v>
      </c>
      <c r="O20" s="52" t="e">
        <f>O8+O9+#REF!</f>
        <v>#REF!</v>
      </c>
      <c r="P20" s="52" t="e">
        <f>P8+P9+#REF!</f>
        <v>#REF!</v>
      </c>
      <c r="Q20" s="52" t="e">
        <f>Q8+Q9+#REF!</f>
        <v>#REF!</v>
      </c>
      <c r="R20" s="52" t="e">
        <f>R8+R9+#REF!</f>
        <v>#REF!</v>
      </c>
      <c r="S20" s="52" t="e">
        <f>S8+S9+#REF!</f>
        <v>#REF!</v>
      </c>
      <c r="T20" s="52" t="e">
        <f>T8+T9+#REF!</f>
        <v>#REF!</v>
      </c>
      <c r="U20" s="59" t="e">
        <f>SUM(V20:AD20)</f>
        <v>#REF!</v>
      </c>
      <c r="V20" s="52" t="e">
        <f>V8+V9+#REF!+V10</f>
        <v>#REF!</v>
      </c>
      <c r="W20" s="52" t="e">
        <f>W8+W9+#REF!+W10</f>
        <v>#REF!</v>
      </c>
      <c r="X20" s="52" t="e">
        <f>X8+X9+#REF!+X10</f>
        <v>#REF!</v>
      </c>
      <c r="Y20" s="52" t="e">
        <f>Y8+Y9+#REF!+Y10</f>
        <v>#REF!</v>
      </c>
      <c r="Z20" s="52" t="e">
        <f>Z8+Z9+#REF!+Z10</f>
        <v>#REF!</v>
      </c>
      <c r="AA20" s="52" t="e">
        <f>AA8+AA9+#REF!+AA10</f>
        <v>#REF!</v>
      </c>
      <c r="AB20" s="52" t="e">
        <f>AB8+AB9+#REF!+AB10</f>
        <v>#REF!</v>
      </c>
      <c r="AC20" s="52" t="e">
        <f>AC8+AC9+#REF!+AC10</f>
        <v>#REF!</v>
      </c>
      <c r="AD20" s="52" t="e">
        <f>AD8+AD9+#REF!+AD10</f>
        <v>#REF!</v>
      </c>
      <c r="AE20" s="59">
        <f>SUM(AF20:AN20)</f>
        <v>39670580.310000002</v>
      </c>
      <c r="AF20" s="59">
        <f>AF8+AF9+AF10</f>
        <v>4780720</v>
      </c>
      <c r="AG20" s="59">
        <f t="shared" ref="AG20:AN20" si="11">AG8+AG9+AG10</f>
        <v>5060784</v>
      </c>
      <c r="AH20" s="59">
        <f t="shared" si="11"/>
        <v>3682063.13</v>
      </c>
      <c r="AI20" s="59">
        <f t="shared" si="11"/>
        <v>3423535.98</v>
      </c>
      <c r="AJ20" s="59">
        <f t="shared" si="11"/>
        <v>4324090</v>
      </c>
      <c r="AK20" s="59">
        <f t="shared" si="11"/>
        <v>5220608.8</v>
      </c>
      <c r="AL20" s="59">
        <f t="shared" si="11"/>
        <v>3274188.4</v>
      </c>
      <c r="AM20" s="59">
        <f t="shared" si="11"/>
        <v>6628872</v>
      </c>
      <c r="AN20" s="59">
        <f t="shared" si="11"/>
        <v>3275718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45" ht="34.200000000000003" hidden="1" customHeight="1" x14ac:dyDescent="0.3">
      <c r="B21" s="84"/>
      <c r="C21" s="26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>
        <v>16.2</v>
      </c>
      <c r="AG21" s="26">
        <v>23.1</v>
      </c>
      <c r="AH21" s="26">
        <v>10.199999999999999</v>
      </c>
      <c r="AI21" s="26">
        <v>11.2</v>
      </c>
      <c r="AJ21" s="26">
        <v>17.600000000000001</v>
      </c>
      <c r="AK21" s="26">
        <v>18.55</v>
      </c>
      <c r="AL21" s="26">
        <v>11</v>
      </c>
      <c r="AM21" s="26">
        <v>17.5</v>
      </c>
      <c r="AN21" s="26">
        <v>8.8000000000000007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37.200000000000003" hidden="1" customHeight="1" x14ac:dyDescent="0.3">
      <c r="B22" s="84"/>
      <c r="C22" s="26"/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>
        <f>1190*1.302</f>
        <v>1549.38</v>
      </c>
      <c r="AF22" s="88">
        <f>AE22*AF21*12-AF24</f>
        <v>273310.63199999998</v>
      </c>
      <c r="AG22" s="88">
        <f>AE22*AG21*12-AG24</f>
        <v>387654.87600000005</v>
      </c>
      <c r="AH22" s="88">
        <f>AH21*AE22*12-AH24</f>
        <v>175699.69199999998</v>
      </c>
      <c r="AI22" s="88">
        <f>AE22*AI21*12-AI24</f>
        <v>180347.83200000002</v>
      </c>
      <c r="AJ22" s="88">
        <f>AE22*AJ21*12-AJ24</f>
        <v>299340.21600000001</v>
      </c>
      <c r="AK22" s="88">
        <f>AE22*12*AK21-AK24</f>
        <v>298410.58799999999</v>
      </c>
      <c r="AL22" s="88">
        <f>AE22*AL21*12-AL24</f>
        <v>190573.74</v>
      </c>
      <c r="AM22" s="88">
        <f>AE22*AM21*12-AM24</f>
        <v>283536.54000000004</v>
      </c>
      <c r="AN22" s="88">
        <f>AE22*AN21*12-AN24</f>
        <v>158966.38800000001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15.6" hidden="1" x14ac:dyDescent="0.3">
      <c r="B23" s="84"/>
      <c r="C23" s="26" t="s">
        <v>29</v>
      </c>
      <c r="D23" s="8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v>6</v>
      </c>
      <c r="AG23" s="26">
        <v>9</v>
      </c>
      <c r="AH23" s="26">
        <v>3</v>
      </c>
      <c r="AI23" s="26">
        <v>6</v>
      </c>
      <c r="AJ23" s="26">
        <v>6</v>
      </c>
      <c r="AK23" s="26">
        <v>10</v>
      </c>
      <c r="AL23" s="26">
        <v>3</v>
      </c>
      <c r="AM23" s="26">
        <v>9</v>
      </c>
      <c r="AN23" s="26">
        <v>1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40.200000000000003" hidden="1" customHeight="1" x14ac:dyDescent="0.3">
      <c r="B24" s="84"/>
      <c r="C24" s="26"/>
      <c r="D24" s="8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f>AE22*AF23*3</f>
        <v>27888.840000000004</v>
      </c>
      <c r="AG24" s="26">
        <f>AE22*AG23*3</f>
        <v>41833.260000000009</v>
      </c>
      <c r="AH24" s="26">
        <f>AE22*AH23*3</f>
        <v>13944.420000000002</v>
      </c>
      <c r="AI24" s="26">
        <f>AE22*AI23*3</f>
        <v>27888.840000000004</v>
      </c>
      <c r="AJ24" s="26">
        <f>AE22*AJ23*3</f>
        <v>27888.840000000004</v>
      </c>
      <c r="AK24" s="26">
        <f>AE22*AK23*3</f>
        <v>46481.4</v>
      </c>
      <c r="AL24" s="26">
        <f>AE22*AL23*3</f>
        <v>13944.420000000002</v>
      </c>
      <c r="AM24" s="26">
        <f>AE22*AM23*3</f>
        <v>41833.260000000009</v>
      </c>
      <c r="AN24" s="26">
        <f>AE22*AN23*3</f>
        <v>4648.1400000000003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idden="1" x14ac:dyDescent="0.25">
      <c r="B25" s="58"/>
      <c r="C25" s="3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15.6" hidden="1" x14ac:dyDescent="0.25">
      <c r="B26" s="58"/>
      <c r="C26" s="3"/>
      <c r="AE26" s="75">
        <f t="shared" ref="AE26" si="12">SUM(AF26:AN26)</f>
        <v>2247800</v>
      </c>
      <c r="AF26" s="1">
        <v>273300</v>
      </c>
      <c r="AG26" s="1">
        <v>387650</v>
      </c>
      <c r="AH26" s="1">
        <v>175700</v>
      </c>
      <c r="AI26" s="1">
        <v>180340</v>
      </c>
      <c r="AJ26" s="1">
        <v>299340</v>
      </c>
      <c r="AK26" s="1">
        <v>298410</v>
      </c>
      <c r="AL26" s="1">
        <v>190570</v>
      </c>
      <c r="AM26" s="1">
        <v>283530</v>
      </c>
      <c r="AN26" s="1">
        <v>158960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idden="1" x14ac:dyDescent="0.25">
      <c r="B27" s="58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x14ac:dyDescent="0.25">
      <c r="B28" s="58"/>
      <c r="C28" s="3"/>
    </row>
    <row r="29" spans="1:145" x14ac:dyDescent="0.25">
      <c r="B29" s="58"/>
      <c r="C29" s="3"/>
    </row>
    <row r="30" spans="1:145" x14ac:dyDescent="0.25">
      <c r="B30" s="58"/>
      <c r="C30" s="3"/>
    </row>
    <row r="31" spans="1:145" x14ac:dyDescent="0.25">
      <c r="B31" s="58"/>
      <c r="C31" s="3"/>
    </row>
    <row r="32" spans="1:145" x14ac:dyDescent="0.25">
      <c r="B32" s="58"/>
      <c r="C32" s="3"/>
    </row>
    <row r="33" spans="2:48" x14ac:dyDescent="0.25">
      <c r="B33" s="58"/>
      <c r="C33" s="3"/>
    </row>
    <row r="34" spans="2:48" x14ac:dyDescent="0.25">
      <c r="B34" s="58"/>
      <c r="C34" s="3"/>
    </row>
    <row r="35" spans="2:48" x14ac:dyDescent="0.25">
      <c r="B35" s="58"/>
      <c r="C35" s="3"/>
    </row>
    <row r="36" spans="2:48" x14ac:dyDescent="0.25">
      <c r="B36" s="58"/>
      <c r="C36" s="3"/>
    </row>
    <row r="37" spans="2:48" x14ac:dyDescent="0.25">
      <c r="B37" s="58"/>
      <c r="C37" s="3"/>
    </row>
    <row r="38" spans="2:48" x14ac:dyDescent="0.25">
      <c r="B38" s="58"/>
      <c r="C38" s="3"/>
    </row>
    <row r="39" spans="2:48" x14ac:dyDescent="0.25">
      <c r="B39" s="58"/>
      <c r="C39" s="3"/>
    </row>
    <row r="40" spans="2:48" x14ac:dyDescent="0.25">
      <c r="B40" s="58"/>
      <c r="C40" s="3"/>
    </row>
    <row r="41" spans="2:48" x14ac:dyDescent="0.25">
      <c r="B41" s="58"/>
      <c r="C41" s="3"/>
    </row>
    <row r="42" spans="2:48" x14ac:dyDescent="0.25">
      <c r="B42" s="58"/>
      <c r="C42" s="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:48" x14ac:dyDescent="0.25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 x14ac:dyDescent="0.25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 x14ac:dyDescent="0.25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 x14ac:dyDescent="0.25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 x14ac:dyDescent="0.25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 x14ac:dyDescent="0.25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 x14ac:dyDescent="0.25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 x14ac:dyDescent="0.25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 x14ac:dyDescent="0.25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 x14ac:dyDescent="0.25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2:48" x14ac:dyDescent="0.25">
      <c r="B53" s="58"/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2020-03-30T07:28:28Z</dcterms:modified>
</cp:coreProperties>
</file>