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240" activeTab="0"/>
  </bookViews>
  <sheets>
    <sheet name="31.10.2011" sheetId="1" r:id="rId1"/>
  </sheets>
  <externalReferences>
    <externalReference r:id="rId4"/>
  </externalReferences>
  <definedNames>
    <definedName name="BAL">'[1]Баланс'!$F$10:$AI$19</definedName>
    <definedName name="_xlnm.Print_Area" localSheetId="0">'31.10.2011'!$A$1:$Z$115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C57" authorId="0">
      <text>
        <r>
          <rPr>
            <b/>
            <sz val="8"/>
            <rFont val="Tahoma"/>
            <family val="2"/>
          </rPr>
          <t>Только для северных территорий</t>
        </r>
      </text>
    </comment>
  </commentList>
</comments>
</file>

<file path=xl/sharedStrings.xml><?xml version="1.0" encoding="utf-8"?>
<sst xmlns="http://schemas.openxmlformats.org/spreadsheetml/2006/main" count="218" uniqueCount="199">
  <si>
    <t>тыс.руб.</t>
  </si>
  <si>
    <t>№</t>
  </si>
  <si>
    <t>Наименование показателя</t>
  </si>
  <si>
    <t>1</t>
  </si>
  <si>
    <t>Является ли организация плательщиком НДС</t>
  </si>
  <si>
    <t>2</t>
  </si>
  <si>
    <t>3</t>
  </si>
  <si>
    <t>Расходы</t>
  </si>
  <si>
    <t>3.1</t>
  </si>
  <si>
    <t>Реагенты</t>
  </si>
  <si>
    <t>3.2</t>
  </si>
  <si>
    <t>Затраты на покупную электрическую энергию</t>
  </si>
  <si>
    <t>энергия НН (0,4 кВ и ниже)</t>
  </si>
  <si>
    <t>тариф на энергию (руб/кВт.ч)</t>
  </si>
  <si>
    <t>объем энергии (тыс.кВт.ч)</t>
  </si>
  <si>
    <t>энергия по свободным (нерегулируемым) ценам</t>
  </si>
  <si>
    <t>3.3</t>
  </si>
  <si>
    <t>Закупка заполнителей фильтров (песок, гравий и пр.)</t>
  </si>
  <si>
    <t>3.4</t>
  </si>
  <si>
    <t>Расходы на оплату труда основного производственного персонала</t>
  </si>
  <si>
    <t>среднемесячная оплата труда рабочего 1 разряда (руб.)</t>
  </si>
  <si>
    <t>численность производственного персонала, распределяемого на регулируемый вид деятельности, ед.</t>
  </si>
  <si>
    <t>3.5</t>
  </si>
  <si>
    <t>Отчисления на социальные нужды от расходов на оплату труда основного производственного персонала</t>
  </si>
  <si>
    <t>3.6</t>
  </si>
  <si>
    <t>Амортизация основных средств</t>
  </si>
  <si>
    <t>3.7</t>
  </si>
  <si>
    <t>Аренда основных средств, из них:</t>
  </si>
  <si>
    <t>3.7.1</t>
  </si>
  <si>
    <t>по договорам лизинга</t>
  </si>
  <si>
    <t>3.7.2</t>
  </si>
  <si>
    <t>по концессионным соглашениям</t>
  </si>
  <si>
    <t>3.8</t>
  </si>
  <si>
    <t>Ремонт и техническое обслуживание основных средств, в том числе:</t>
  </si>
  <si>
    <t>3.8.1</t>
  </si>
  <si>
    <t>капитальный ремонт основных средств</t>
  </si>
  <si>
    <t>3.8.2</t>
  </si>
  <si>
    <t>3.8.2.1</t>
  </si>
  <si>
    <t>среднемесячная оплата труда ремонтного персонала (руб.)</t>
  </si>
  <si>
    <t>численность ремонтного персонала, распределяемого на регулируемый вид деятельности, ед.</t>
  </si>
  <si>
    <t>3.8.3</t>
  </si>
  <si>
    <t>отчисления на соц.нужды от заработной платы ремонтного персонала</t>
  </si>
  <si>
    <t>3.9</t>
  </si>
  <si>
    <t>Услуги по транспортированию неочищенной воды, оказываемые сторонними организациями</t>
  </si>
  <si>
    <t>3.10</t>
  </si>
  <si>
    <t>Услуги холодного водоснабжения по очистке воды, оказываемые сторонними организациями</t>
  </si>
  <si>
    <t>3.11</t>
  </si>
  <si>
    <t>Услуги холодного водоснабжения по транспортированию воды, оказываемые сторонними организациями</t>
  </si>
  <si>
    <t>3.12</t>
  </si>
  <si>
    <t>Покупная вода, в том числе:</t>
  </si>
  <si>
    <t>3.12.1</t>
  </si>
  <si>
    <t>технического качества</t>
  </si>
  <si>
    <t>3.12.2</t>
  </si>
  <si>
    <t xml:space="preserve">питьевого качества </t>
  </si>
  <si>
    <t>3.12.3</t>
  </si>
  <si>
    <t>покупка потерь</t>
  </si>
  <si>
    <t>3.13</t>
  </si>
  <si>
    <t>Материалы и запасные части</t>
  </si>
  <si>
    <t>3.14</t>
  </si>
  <si>
    <t>Прочие прямые расходы</t>
  </si>
  <si>
    <t>3.14.1</t>
  </si>
  <si>
    <t>тепловая энергия для подогрева воды (для северных территорий)</t>
  </si>
  <si>
    <t>3.15</t>
  </si>
  <si>
    <t>Цеховые расходы, в том числе:</t>
  </si>
  <si>
    <t>3.15.1</t>
  </si>
  <si>
    <t xml:space="preserve">     заработная плата цехового персонала</t>
  </si>
  <si>
    <t>3.15.1.1</t>
  </si>
  <si>
    <t>3.15.2</t>
  </si>
  <si>
    <t xml:space="preserve">    отчисления на соц.нужды от заработной платы цехового персонала</t>
  </si>
  <si>
    <t>3.16</t>
  </si>
  <si>
    <t>Расходы на проведение АВР</t>
  </si>
  <si>
    <t>3.17</t>
  </si>
  <si>
    <t>3.18</t>
  </si>
  <si>
    <t>Общеэксплуатационные расходы, в том числе:</t>
  </si>
  <si>
    <t>3.18.1</t>
  </si>
  <si>
    <r>
      <t xml:space="preserve">    заработная плата АУП и </t>
    </r>
    <r>
      <rPr>
        <u val="single"/>
        <sz val="11"/>
        <rFont val="Tahoma"/>
        <family val="2"/>
      </rPr>
      <t>общеэксплуатационного персонала</t>
    </r>
  </si>
  <si>
    <t>3.18.2</t>
  </si>
  <si>
    <t xml:space="preserve">    отчисления на соц.нужды от заработной платы АУП</t>
  </si>
  <si>
    <t>3.19</t>
  </si>
  <si>
    <t>Налоги и сборы, включаемые в себестоимость продукции (работ, услуг) (без единого социального налога), из них:</t>
  </si>
  <si>
    <t>3.19.1</t>
  </si>
  <si>
    <t>3.19.2</t>
  </si>
  <si>
    <t>водный налог</t>
  </si>
  <si>
    <t>3.19.3</t>
  </si>
  <si>
    <t>3.19.4</t>
  </si>
  <si>
    <t>налог на имущество</t>
  </si>
  <si>
    <t>3.19.5</t>
  </si>
  <si>
    <t>единый налог, уплачиваемый организацией, применяющей упрощенную систему налогообложения</t>
  </si>
  <si>
    <t>3.20</t>
  </si>
  <si>
    <t>Плата за загрязнения</t>
  </si>
  <si>
    <t>3.21</t>
  </si>
  <si>
    <t>Расходы на ГСМ (или/и расходы на аренду спецтехники)</t>
  </si>
  <si>
    <t>3.22</t>
  </si>
  <si>
    <t>Прочие косвенные расходы</t>
  </si>
  <si>
    <t>4</t>
  </si>
  <si>
    <t>Прибыль</t>
  </si>
  <si>
    <t>4.1</t>
  </si>
  <si>
    <t>4.2</t>
  </si>
  <si>
    <t xml:space="preserve">Прибыль на социальное развитие </t>
  </si>
  <si>
    <t>4.3</t>
  </si>
  <si>
    <t>Прибыль на поощрение</t>
  </si>
  <si>
    <t>4.4</t>
  </si>
  <si>
    <t>Прибыль на прочие цели</t>
  </si>
  <si>
    <t>4.5</t>
  </si>
  <si>
    <t>Налоги, сборы, платежи - всего, из них:</t>
  </si>
  <si>
    <t>4.5.1</t>
  </si>
  <si>
    <t>прибыль</t>
  </si>
  <si>
    <t>4.5.2</t>
  </si>
  <si>
    <t>прочие</t>
  </si>
  <si>
    <t>5</t>
  </si>
  <si>
    <t>6</t>
  </si>
  <si>
    <t>7</t>
  </si>
  <si>
    <t>Финансовые средства на финансирование инвестиционной программы</t>
  </si>
  <si>
    <t>7.1</t>
  </si>
  <si>
    <t>Объем реализации холодной воды потребителям, по которому осуществлялись расчеты с учетом надбавки к тарифу(куб.м.)</t>
  </si>
  <si>
    <t>7.2</t>
  </si>
  <si>
    <t>Надбавка к тарифу на услугу в сфере водоснабжения,  без НДС(руб./куб.м.)</t>
  </si>
  <si>
    <t>Надбавка к тарифу на услугу в сфере водоснабжения, с НДС(руб./куб.м.)</t>
  </si>
  <si>
    <t>Факт по данным организации 2009г.</t>
  </si>
  <si>
    <t>План по утвержденному тарифу 2010 г.</t>
  </si>
  <si>
    <t>Предложение организации на 2011 год</t>
  </si>
  <si>
    <t>Коэффициент на реализацию холодной воды</t>
  </si>
  <si>
    <t>3.7.3</t>
  </si>
  <si>
    <t>Аренда помещений</t>
  </si>
  <si>
    <t>3.18.1.1</t>
  </si>
  <si>
    <t>3.18.3</t>
  </si>
  <si>
    <t>Выпадающие доходы</t>
  </si>
  <si>
    <t>Избыток средств</t>
  </si>
  <si>
    <t>НВВ без НДС</t>
  </si>
  <si>
    <t>НВВ с НДС</t>
  </si>
  <si>
    <t>4.8</t>
  </si>
  <si>
    <t>4.6</t>
  </si>
  <si>
    <t>4.7</t>
  </si>
  <si>
    <t>4.9</t>
  </si>
  <si>
    <t>7.3</t>
  </si>
  <si>
    <t>7.4</t>
  </si>
  <si>
    <t>БАЛАНС</t>
  </si>
  <si>
    <t>2.1</t>
  </si>
  <si>
    <t>2.2</t>
  </si>
  <si>
    <t>Поднято воды</t>
  </si>
  <si>
    <t>Подано в сеть</t>
  </si>
  <si>
    <t>Потрери</t>
  </si>
  <si>
    <t>Отпущено воды всего:</t>
  </si>
  <si>
    <t>Расход на собственные нужды</t>
  </si>
  <si>
    <t>Бюджетные организации</t>
  </si>
  <si>
    <t>Население</t>
  </si>
  <si>
    <t>Прочие</t>
  </si>
  <si>
    <t>2.3</t>
  </si>
  <si>
    <t>2.4</t>
  </si>
  <si>
    <t>2.4.1</t>
  </si>
  <si>
    <t>2.4.2</t>
  </si>
  <si>
    <t>2.4.3</t>
  </si>
  <si>
    <t>2.4.4</t>
  </si>
  <si>
    <t>7.5</t>
  </si>
  <si>
    <t>Инвест программа</t>
  </si>
  <si>
    <t>Прибыль на развитие производства, в том числе:</t>
  </si>
  <si>
    <r>
      <t>Тариф на реализацию 1 м</t>
    </r>
    <r>
      <rPr>
        <b/>
        <vertAlign val="superscript"/>
        <sz val="11"/>
        <rFont val="Arial Cyr"/>
        <family val="0"/>
      </rPr>
      <t>3</t>
    </r>
    <r>
      <rPr>
        <b/>
        <sz val="11"/>
        <rFont val="Arial Cyr"/>
        <family val="0"/>
      </rPr>
      <t>,</t>
    </r>
    <r>
      <rPr>
        <b/>
        <vertAlign val="superscript"/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без НДС</t>
    </r>
  </si>
  <si>
    <r>
      <t>Тариф на реализацию 1 м</t>
    </r>
    <r>
      <rPr>
        <b/>
        <vertAlign val="superscript"/>
        <sz val="11"/>
        <rFont val="Arial Cyr"/>
        <family val="0"/>
      </rPr>
      <t>3</t>
    </r>
    <r>
      <rPr>
        <b/>
        <sz val="11"/>
        <rFont val="Arial Cyr"/>
        <family val="0"/>
      </rPr>
      <t>,</t>
    </r>
    <r>
      <rPr>
        <b/>
        <vertAlign val="superscript"/>
        <sz val="11"/>
        <rFont val="Arial Cyr"/>
        <family val="0"/>
      </rPr>
      <t xml:space="preserve"> </t>
    </r>
    <r>
      <rPr>
        <b/>
        <sz val="11"/>
        <rFont val="Arial Cyr"/>
        <family val="0"/>
      </rPr>
      <t>с НДС</t>
    </r>
  </si>
  <si>
    <r>
      <t>Тариф на реализацию 1 м</t>
    </r>
    <r>
      <rPr>
        <b/>
        <vertAlign val="superscript"/>
        <sz val="11"/>
        <rFont val="Arial Cyr"/>
        <family val="0"/>
      </rPr>
      <t>3</t>
    </r>
    <r>
      <rPr>
        <b/>
        <sz val="11"/>
        <rFont val="Arial Cyr"/>
        <family val="0"/>
      </rPr>
      <t xml:space="preserve"> с учетом инвестиционной надбавки, с НДС</t>
    </r>
  </si>
  <si>
    <t>Иные расходы</t>
  </si>
  <si>
    <t>прочие налоги и сборы</t>
  </si>
  <si>
    <t>охрана труда</t>
  </si>
  <si>
    <t>работы и услуги непроизв характера</t>
  </si>
  <si>
    <t>Прочие расходы, в т.ч.</t>
  </si>
  <si>
    <t>нет</t>
  </si>
  <si>
    <t>текущий ремонт</t>
  </si>
  <si>
    <t xml:space="preserve">иные цеховые, не поименнованные </t>
  </si>
  <si>
    <t>(химанализ)</t>
  </si>
  <si>
    <t>145,45</t>
  </si>
  <si>
    <t>236,7</t>
  </si>
  <si>
    <t>11</t>
  </si>
  <si>
    <t>индекс</t>
  </si>
  <si>
    <t>Предложение организации на 2012 год</t>
  </si>
  <si>
    <t>3.15.1.2</t>
  </si>
  <si>
    <t>3.8.2.2</t>
  </si>
  <si>
    <t>Признано обоснован. Комитетом 2011</t>
  </si>
  <si>
    <t>Признано обоснован. Комитетом2012</t>
  </si>
  <si>
    <t>231,015</t>
  </si>
  <si>
    <t>Признано обоснован. Комитетом на 01.01.2012</t>
  </si>
  <si>
    <t>Признано обоснован. Комитетом на 01.07.2012</t>
  </si>
  <si>
    <t>Признано обоснован. Комитетом на 01.09.2012</t>
  </si>
  <si>
    <t>*</t>
  </si>
  <si>
    <t>3.2.1.1</t>
  </si>
  <si>
    <t>3.2.1.1.1</t>
  </si>
  <si>
    <t>3.2.1.1.2</t>
  </si>
  <si>
    <t>3.2.5.1</t>
  </si>
  <si>
    <t>3.2.5.1.1</t>
  </si>
  <si>
    <t>3.2.5.1.2</t>
  </si>
  <si>
    <t>3.4.1</t>
  </si>
  <si>
    <t>3.4.2</t>
  </si>
  <si>
    <t>3.15.1.3</t>
  </si>
  <si>
    <t>2012 год</t>
  </si>
  <si>
    <t>2013 год</t>
  </si>
  <si>
    <t>Индекс</t>
  </si>
  <si>
    <t>Признано Комитетом на 01.01.2013г.</t>
  </si>
  <si>
    <t>Признано Комитетом на 01.07.2013г.</t>
  </si>
  <si>
    <t>баканализ</t>
  </si>
  <si>
    <t xml:space="preserve">                                                                 ЭКСПЕТРТНОЕ ЗАКЛЮЧЕНИЕ Комитета по тарифам Республики Алтай  по рассмотрению тарифа на услуги холодного водоснабжения, оказываемые МУП «Тепловодстрой Сервис» с. Усть-Кокса, на 2013 год                                                                                                                                 </t>
  </si>
  <si>
    <t>Примечание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</si>
</sst>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0.000"/>
    <numFmt numFmtId="173" formatCode="#,##0.000"/>
  </numFmts>
  <fonts count="64">
    <font>
      <sz val="10"/>
      <name val="Arial Cyr"/>
      <family val="0"/>
    </font>
    <font>
      <sz val="10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2"/>
      <color indexed="48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1"/>
      <color indexed="8"/>
      <name val="Tahoma"/>
      <family val="2"/>
    </font>
    <font>
      <u val="single"/>
      <sz val="11"/>
      <name val="Tahoma"/>
      <family val="2"/>
    </font>
    <font>
      <sz val="12"/>
      <color indexed="10"/>
      <name val="Tahoma"/>
      <family val="2"/>
    </font>
    <font>
      <sz val="11"/>
      <color indexed="9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Tahoma"/>
      <family val="2"/>
    </font>
    <font>
      <b/>
      <vertAlign val="superscript"/>
      <sz val="11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i/>
      <sz val="11"/>
      <name val="Tahoma"/>
      <family val="2"/>
    </font>
    <font>
      <sz val="16"/>
      <name val="Arial Cyr"/>
      <family val="0"/>
    </font>
    <font>
      <i/>
      <sz val="10"/>
      <name val="Arial Cyr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33" borderId="10" xfId="56" applyFont="1" applyFill="1" applyBorder="1" applyAlignment="1" applyProtection="1">
      <alignment vertical="center" wrapText="1"/>
      <protection/>
    </xf>
    <xf numFmtId="0" fontId="5" fillId="33" borderId="0" xfId="56" applyFont="1" applyFill="1" applyBorder="1" applyAlignment="1" applyProtection="1">
      <alignment horizontal="right" vertical="center" wrapText="1"/>
      <protection/>
    </xf>
    <xf numFmtId="0" fontId="8" fillId="33" borderId="0" xfId="56" applyFont="1" applyFill="1" applyBorder="1" applyAlignment="1" applyProtection="1">
      <alignment vertical="center" textRotation="90" wrapText="1"/>
      <protection/>
    </xf>
    <xf numFmtId="49" fontId="9" fillId="33" borderId="10" xfId="54" applyNumberFormat="1" applyFont="1" applyFill="1" applyBorder="1" applyAlignment="1" applyProtection="1">
      <alignment horizontal="center" vertical="center" wrapText="1"/>
      <protection/>
    </xf>
    <xf numFmtId="49" fontId="6" fillId="34" borderId="11" xfId="54" applyNumberFormat="1" applyFont="1" applyFill="1" applyBorder="1" applyAlignment="1" applyProtection="1">
      <alignment horizontal="center" vertical="center" wrapText="1"/>
      <protection/>
    </xf>
    <xf numFmtId="49" fontId="3" fillId="34" borderId="12" xfId="53" applyNumberFormat="1" applyFont="1" applyFill="1" applyBorder="1" applyAlignment="1" applyProtection="1">
      <alignment horizontal="left" vertical="center" wrapText="1"/>
      <protection/>
    </xf>
    <xf numFmtId="49" fontId="9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4" borderId="11" xfId="56" applyNumberFormat="1" applyFont="1" applyFill="1" applyBorder="1" applyAlignment="1" applyProtection="1">
      <alignment horizontal="center" vertical="center" wrapText="1"/>
      <protection/>
    </xf>
    <xf numFmtId="49" fontId="6" fillId="33" borderId="11" xfId="56" applyNumberFormat="1" applyFont="1" applyFill="1" applyBorder="1" applyAlignment="1" applyProtection="1">
      <alignment horizontal="center" vertical="center" wrapText="1"/>
      <protection/>
    </xf>
    <xf numFmtId="0" fontId="5" fillId="33" borderId="12" xfId="56" applyFont="1" applyFill="1" applyBorder="1" applyAlignment="1" applyProtection="1">
      <alignment vertical="center" wrapText="1"/>
      <protection/>
    </xf>
    <xf numFmtId="49" fontId="6" fillId="0" borderId="11" xfId="56" applyNumberFormat="1" applyFont="1" applyFill="1" applyBorder="1" applyAlignment="1" applyProtection="1">
      <alignment horizontal="center" vertical="center" wrapText="1"/>
      <protection/>
    </xf>
    <xf numFmtId="4" fontId="10" fillId="33" borderId="0" xfId="56" applyNumberFormat="1" applyFont="1" applyFill="1" applyBorder="1" applyAlignment="1" applyProtection="1">
      <alignment vertical="center" wrapText="1"/>
      <protection/>
    </xf>
    <xf numFmtId="0" fontId="3" fillId="33" borderId="11" xfId="56" applyFont="1" applyFill="1" applyBorder="1" applyAlignment="1" applyProtection="1">
      <alignment horizontal="left" vertical="center" wrapText="1" indent="1"/>
      <protection/>
    </xf>
    <xf numFmtId="0" fontId="5" fillId="33" borderId="11" xfId="55" applyFont="1" applyFill="1" applyBorder="1" applyAlignment="1" applyProtection="1">
      <alignment horizontal="left" vertical="center" wrapText="1" indent="3"/>
      <protection/>
    </xf>
    <xf numFmtId="0" fontId="5" fillId="33" borderId="11" xfId="55" applyFont="1" applyFill="1" applyBorder="1" applyAlignment="1" applyProtection="1">
      <alignment horizontal="left" vertical="center" wrapText="1"/>
      <protection/>
    </xf>
    <xf numFmtId="49" fontId="5" fillId="33" borderId="11" xfId="56" applyNumberFormat="1" applyFont="1" applyFill="1" applyBorder="1" applyAlignment="1" applyProtection="1">
      <alignment horizontal="left" vertical="center" wrapText="1" indent="1"/>
      <protection/>
    </xf>
    <xf numFmtId="0" fontId="5" fillId="33" borderId="12" xfId="56" applyFont="1" applyFill="1" applyBorder="1" applyAlignment="1" applyProtection="1">
      <alignment horizontal="left" vertical="center" wrapText="1"/>
      <protection/>
    </xf>
    <xf numFmtId="0" fontId="5" fillId="33" borderId="12" xfId="56" applyFont="1" applyFill="1" applyBorder="1" applyAlignment="1" applyProtection="1">
      <alignment horizontal="left" vertical="center" wrapText="1" indent="1"/>
      <protection/>
    </xf>
    <xf numFmtId="0" fontId="5" fillId="33" borderId="12" xfId="56" applyFont="1" applyFill="1" applyBorder="1" applyAlignment="1" applyProtection="1">
      <alignment horizontal="left" vertical="center" wrapText="1" indent="3"/>
      <protection/>
    </xf>
    <xf numFmtId="0" fontId="5" fillId="33" borderId="12" xfId="56" applyFont="1" applyFill="1" applyBorder="1" applyAlignment="1" applyProtection="1">
      <alignment horizontal="left" vertical="center" wrapText="1" indent="2"/>
      <protection/>
    </xf>
    <xf numFmtId="49" fontId="6" fillId="33" borderId="12" xfId="56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top" wrapText="1" indent="1"/>
      <protection/>
    </xf>
    <xf numFmtId="0" fontId="5" fillId="0" borderId="0" xfId="56" applyFont="1" applyBorder="1" applyAlignment="1" applyProtection="1">
      <alignment vertical="center" wrapText="1"/>
      <protection/>
    </xf>
    <xf numFmtId="0" fontId="13" fillId="33" borderId="0" xfId="56" applyFont="1" applyFill="1" applyBorder="1" applyAlignment="1" applyProtection="1">
      <alignment vertical="center" textRotation="90" wrapText="1"/>
      <protection/>
    </xf>
    <xf numFmtId="49" fontId="3" fillId="34" borderId="11" xfId="56" applyNumberFormat="1" applyFont="1" applyFill="1" applyBorder="1" applyAlignment="1" applyProtection="1">
      <alignment horizontal="center" vertical="center" wrapText="1"/>
      <protection/>
    </xf>
    <xf numFmtId="0" fontId="3" fillId="34" borderId="11" xfId="56" applyFont="1" applyFill="1" applyBorder="1" applyAlignment="1" applyProtection="1">
      <alignment vertical="center" wrapText="1"/>
      <protection/>
    </xf>
    <xf numFmtId="4" fontId="4" fillId="33" borderId="0" xfId="56" applyNumberFormat="1" applyFont="1" applyFill="1" applyBorder="1" applyAlignment="1" applyProtection="1">
      <alignment vertical="center" wrapText="1"/>
      <protection/>
    </xf>
    <xf numFmtId="0" fontId="14" fillId="33" borderId="0" xfId="56" applyFont="1" applyFill="1" applyBorder="1" applyAlignment="1" applyProtection="1">
      <alignment vertical="center" wrapText="1"/>
      <protection/>
    </xf>
    <xf numFmtId="0" fontId="5" fillId="33" borderId="0" xfId="56" applyFont="1" applyFill="1" applyBorder="1" applyAlignment="1" applyProtection="1">
      <alignment vertical="center" wrapText="1"/>
      <protection/>
    </xf>
    <xf numFmtId="0" fontId="5" fillId="33" borderId="11" xfId="56" applyFont="1" applyFill="1" applyBorder="1" applyAlignment="1" applyProtection="1">
      <alignment horizontal="left" vertical="center" wrapText="1"/>
      <protection/>
    </xf>
    <xf numFmtId="0" fontId="3" fillId="34" borderId="12" xfId="56" applyFont="1" applyFill="1" applyBorder="1" applyAlignment="1" applyProtection="1">
      <alignment vertical="center" wrapText="1"/>
      <protection/>
    </xf>
    <xf numFmtId="0" fontId="18" fillId="0" borderId="11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49" fontId="3" fillId="33" borderId="11" xfId="56" applyNumberFormat="1" applyFont="1" applyFill="1" applyBorder="1" applyAlignment="1" applyProtection="1">
      <alignment horizontal="center" vertical="center" wrapText="1"/>
      <protection/>
    </xf>
    <xf numFmtId="0" fontId="3" fillId="34" borderId="12" xfId="56" applyFont="1" applyFill="1" applyBorder="1" applyAlignment="1" applyProtection="1">
      <alignment horizontal="left" vertical="center" wrapText="1"/>
      <protection/>
    </xf>
    <xf numFmtId="0" fontId="8" fillId="35" borderId="0" xfId="56" applyFont="1" applyFill="1" applyBorder="1" applyAlignment="1" applyProtection="1">
      <alignment vertical="center" textRotation="90" wrapText="1"/>
      <protection/>
    </xf>
    <xf numFmtId="0" fontId="5" fillId="36" borderId="11" xfId="56" applyFont="1" applyFill="1" applyBorder="1" applyAlignment="1" applyProtection="1">
      <alignment vertical="center" wrapText="1"/>
      <protection/>
    </xf>
    <xf numFmtId="4" fontId="10" fillId="36" borderId="0" xfId="56" applyNumberFormat="1" applyFont="1" applyFill="1" applyBorder="1" applyAlignment="1" applyProtection="1">
      <alignment vertical="center" wrapText="1"/>
      <protection/>
    </xf>
    <xf numFmtId="0" fontId="5" fillId="36" borderId="12" xfId="56" applyFont="1" applyFill="1" applyBorder="1" applyAlignment="1" applyProtection="1">
      <alignment vertical="center" wrapText="1"/>
      <protection/>
    </xf>
    <xf numFmtId="0" fontId="8" fillId="36" borderId="0" xfId="56" applyFont="1" applyFill="1" applyBorder="1" applyAlignment="1" applyProtection="1">
      <alignment vertical="center" textRotation="90" wrapText="1"/>
      <protection/>
    </xf>
    <xf numFmtId="0" fontId="5" fillId="36" borderId="12" xfId="56" applyFont="1" applyFill="1" applyBorder="1" applyAlignment="1" applyProtection="1">
      <alignment horizontal="left" vertical="center" wrapText="1"/>
      <protection/>
    </xf>
    <xf numFmtId="0" fontId="11" fillId="36" borderId="11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49" fontId="3" fillId="37" borderId="12" xfId="53" applyNumberFormat="1" applyFont="1" applyFill="1" applyBorder="1" applyAlignment="1" applyProtection="1">
      <alignment horizontal="left" vertical="center" wrapText="1"/>
      <protection/>
    </xf>
    <xf numFmtId="0" fontId="8" fillId="37" borderId="0" xfId="56" applyFont="1" applyFill="1" applyBorder="1" applyAlignment="1" applyProtection="1">
      <alignment vertical="center" textRotation="90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8" borderId="14" xfId="54" applyNumberFormat="1" applyFont="1" applyFill="1" applyBorder="1" applyAlignment="1" applyProtection="1">
      <alignment horizontal="center" vertical="center" wrapText="1"/>
      <protection/>
    </xf>
    <xf numFmtId="0" fontId="3" fillId="35" borderId="12" xfId="56" applyFont="1" applyFill="1" applyBorder="1" applyAlignment="1" applyProtection="1">
      <alignment horizontal="center" vertical="center" wrapText="1"/>
      <protection/>
    </xf>
    <xf numFmtId="49" fontId="3" fillId="35" borderId="12" xfId="53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left"/>
    </xf>
    <xf numFmtId="0" fontId="16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2" fontId="0" fillId="0" borderId="0" xfId="0" applyNumberFormat="1" applyAlignment="1">
      <alignment/>
    </xf>
    <xf numFmtId="166" fontId="1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49" fontId="1" fillId="33" borderId="0" xfId="56" applyNumberFormat="1" applyFont="1" applyFill="1" applyBorder="1" applyAlignment="1" applyProtection="1">
      <alignment vertical="center" wrapText="1"/>
      <protection/>
    </xf>
    <xf numFmtId="0" fontId="2" fillId="33" borderId="0" xfId="56" applyFont="1" applyFill="1" applyBorder="1" applyAlignment="1" applyProtection="1">
      <alignment vertical="center" wrapText="1"/>
      <protection/>
    </xf>
    <xf numFmtId="0" fontId="3" fillId="33" borderId="0" xfId="56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" fontId="3" fillId="35" borderId="11" xfId="56" applyNumberFormat="1" applyFont="1" applyFill="1" applyBorder="1" applyAlignment="1" applyProtection="1">
      <alignment horizontal="center" vertical="center" wrapText="1"/>
      <protection/>
    </xf>
    <xf numFmtId="172" fontId="3" fillId="38" borderId="11" xfId="56" applyNumberFormat="1" applyFont="1" applyFill="1" applyBorder="1" applyAlignment="1" applyProtection="1">
      <alignment horizontal="center" vertical="center" wrapText="1"/>
      <protection/>
    </xf>
    <xf numFmtId="172" fontId="3" fillId="39" borderId="11" xfId="55" applyNumberFormat="1" applyFont="1" applyFill="1" applyBorder="1" applyAlignment="1" applyProtection="1">
      <alignment horizontal="center" vertical="center" wrapText="1"/>
      <protection locked="0"/>
    </xf>
    <xf numFmtId="172" fontId="3" fillId="39" borderId="11" xfId="54" applyNumberFormat="1" applyFont="1" applyFill="1" applyBorder="1" applyAlignment="1" applyProtection="1">
      <alignment horizontal="center" vertical="center" wrapText="1"/>
      <protection/>
    </xf>
    <xf numFmtId="0" fontId="3" fillId="35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3" fillId="38" borderId="16" xfId="54" applyNumberFormat="1" applyFont="1" applyFill="1" applyBorder="1" applyAlignment="1" applyProtection="1">
      <alignment horizontal="center" vertical="center" wrapText="1"/>
      <protection/>
    </xf>
    <xf numFmtId="0" fontId="3" fillId="38" borderId="11" xfId="54" applyNumberFormat="1" applyFont="1" applyFill="1" applyBorder="1" applyAlignment="1" applyProtection="1">
      <alignment horizontal="center" vertical="center" wrapText="1"/>
      <protection/>
    </xf>
    <xf numFmtId="0" fontId="3" fillId="35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4" fontId="3" fillId="0" borderId="11" xfId="56" applyNumberFormat="1" applyFont="1" applyFill="1" applyBorder="1" applyAlignment="1" applyProtection="1">
      <alignment horizontal="center" vertical="center" wrapText="1"/>
      <protection/>
    </xf>
    <xf numFmtId="172" fontId="1" fillId="0" borderId="0" xfId="56" applyNumberFormat="1" applyFont="1" applyFill="1" applyAlignment="1" applyProtection="1">
      <alignment horizontal="center" vertical="center" wrapText="1"/>
      <protection/>
    </xf>
    <xf numFmtId="172" fontId="5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/>
    </xf>
    <xf numFmtId="0" fontId="3" fillId="35" borderId="17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49" fontId="3" fillId="38" borderId="11" xfId="54" applyNumberFormat="1" applyFont="1" applyFill="1" applyBorder="1" applyAlignment="1" applyProtection="1">
      <alignment horizontal="center" vertical="center" wrapText="1"/>
      <protection/>
    </xf>
    <xf numFmtId="2" fontId="3" fillId="38" borderId="11" xfId="54" applyNumberFormat="1" applyFont="1" applyFill="1" applyBorder="1" applyAlignment="1" applyProtection="1">
      <alignment horizontal="center" vertical="center" wrapText="1"/>
      <protection/>
    </xf>
    <xf numFmtId="2" fontId="17" fillId="0" borderId="11" xfId="0" applyNumberFormat="1" applyFont="1" applyFill="1" applyBorder="1" applyAlignment="1" applyProtection="1">
      <alignment horizontal="center" vertical="center"/>
      <protection/>
    </xf>
    <xf numFmtId="166" fontId="3" fillId="38" borderId="12" xfId="54" applyNumberFormat="1" applyFont="1" applyFill="1" applyBorder="1" applyAlignment="1" applyProtection="1">
      <alignment horizontal="center" vertical="center" wrapText="1"/>
      <protection/>
    </xf>
    <xf numFmtId="2" fontId="3" fillId="38" borderId="11" xfId="0" applyNumberFormat="1" applyFont="1" applyFill="1" applyBorder="1" applyAlignment="1">
      <alignment horizontal="center" vertical="center"/>
    </xf>
    <xf numFmtId="49" fontId="3" fillId="37" borderId="11" xfId="54" applyNumberFormat="1" applyFont="1" applyFill="1" applyBorder="1" applyAlignment="1" applyProtection="1">
      <alignment horizontal="center" vertical="center" wrapText="1"/>
      <protection/>
    </xf>
    <xf numFmtId="0" fontId="3" fillId="37" borderId="11" xfId="54" applyNumberFormat="1" applyFont="1" applyFill="1" applyBorder="1" applyAlignment="1" applyProtection="1">
      <alignment horizontal="center" vertical="center" wrapText="1"/>
      <protection/>
    </xf>
    <xf numFmtId="2" fontId="3" fillId="37" borderId="11" xfId="54" applyNumberFormat="1" applyFont="1" applyFill="1" applyBorder="1" applyAlignment="1" applyProtection="1">
      <alignment horizontal="center" vertical="center" wrapText="1"/>
      <protection/>
    </xf>
    <xf numFmtId="4" fontId="3" fillId="39" borderId="11" xfId="56" applyNumberFormat="1" applyFont="1" applyFill="1" applyBorder="1" applyAlignment="1" applyProtection="1">
      <alignment horizontal="center" vertical="center" wrapText="1"/>
      <protection/>
    </xf>
    <xf numFmtId="4" fontId="3" fillId="39" borderId="12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36" borderId="11" xfId="56" applyNumberFormat="1" applyFont="1" applyFill="1" applyBorder="1" applyAlignment="1" applyProtection="1">
      <alignment horizontal="center" vertical="center" wrapText="1"/>
      <protection/>
    </xf>
    <xf numFmtId="4" fontId="3" fillId="36" borderId="12" xfId="56" applyNumberFormat="1" applyFont="1" applyFill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Border="1" applyAlignment="1" applyProtection="1">
      <alignment horizontal="center" vertical="center"/>
      <protection/>
    </xf>
    <xf numFmtId="2" fontId="17" fillId="0" borderId="12" xfId="0" applyNumberFormat="1" applyFont="1" applyBorder="1" applyAlignment="1" applyProtection="1">
      <alignment horizontal="center" vertical="center"/>
      <protection/>
    </xf>
    <xf numFmtId="2" fontId="17" fillId="39" borderId="11" xfId="0" applyNumberFormat="1" applyFont="1" applyFill="1" applyBorder="1" applyAlignment="1" applyProtection="1">
      <alignment horizontal="center" vertical="center"/>
      <protection/>
    </xf>
    <xf numFmtId="172" fontId="17" fillId="0" borderId="11" xfId="0" applyNumberFormat="1" applyFont="1" applyFill="1" applyBorder="1" applyAlignment="1" applyProtection="1">
      <alignment horizontal="center" vertical="center"/>
      <protection/>
    </xf>
    <xf numFmtId="2" fontId="17" fillId="38" borderId="11" xfId="0" applyNumberFormat="1" applyFont="1" applyFill="1" applyBorder="1" applyAlignment="1" applyProtection="1">
      <alignment horizontal="center" vertical="center"/>
      <protection/>
    </xf>
    <xf numFmtId="2" fontId="17" fillId="38" borderId="12" xfId="0" applyNumberFormat="1" applyFont="1" applyFill="1" applyBorder="1" applyAlignment="1" applyProtection="1">
      <alignment horizontal="center" vertical="center"/>
      <protection/>
    </xf>
    <xf numFmtId="2" fontId="3" fillId="38" borderId="11" xfId="0" applyNumberFormat="1" applyFont="1" applyFill="1" applyBorder="1" applyAlignment="1" applyProtection="1">
      <alignment horizontal="center" vertical="center"/>
      <protection/>
    </xf>
    <xf numFmtId="2" fontId="17" fillId="39" borderId="12" xfId="0" applyNumberFormat="1" applyFont="1" applyFill="1" applyBorder="1" applyAlignment="1" applyProtection="1">
      <alignment horizontal="center" vertical="center"/>
      <protection/>
    </xf>
    <xf numFmtId="2" fontId="3" fillId="39" borderId="11" xfId="0" applyNumberFormat="1" applyFont="1" applyFill="1" applyBorder="1" applyAlignment="1" applyProtection="1">
      <alignment horizontal="center" vertical="center"/>
      <protection/>
    </xf>
    <xf numFmtId="4" fontId="3" fillId="38" borderId="11" xfId="56" applyNumberFormat="1" applyFont="1" applyFill="1" applyBorder="1" applyAlignment="1" applyProtection="1">
      <alignment horizontal="center" vertical="center" wrapText="1"/>
      <protection/>
    </xf>
    <xf numFmtId="4" fontId="3" fillId="38" borderId="12" xfId="56" applyNumberFormat="1" applyFont="1" applyFill="1" applyBorder="1" applyAlignment="1" applyProtection="1">
      <alignment horizontal="center" vertical="center" wrapText="1"/>
      <protection/>
    </xf>
    <xf numFmtId="2" fontId="3" fillId="39" borderId="11" xfId="56" applyNumberFormat="1" applyFont="1" applyFill="1" applyBorder="1" applyAlignment="1" applyProtection="1">
      <alignment horizontal="center" vertical="center" wrapText="1"/>
      <protection/>
    </xf>
    <xf numFmtId="4" fontId="20" fillId="36" borderId="11" xfId="56" applyNumberFormat="1" applyFont="1" applyFill="1" applyBorder="1" applyAlignment="1" applyProtection="1">
      <alignment horizontal="center" vertical="center" wrapText="1"/>
      <protection/>
    </xf>
    <xf numFmtId="4" fontId="3" fillId="39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  <protection/>
    </xf>
    <xf numFmtId="2" fontId="3" fillId="33" borderId="11" xfId="56" applyNumberFormat="1" applyFont="1" applyFill="1" applyBorder="1" applyAlignment="1" applyProtection="1">
      <alignment horizontal="center" vertical="center" wrapText="1"/>
      <protection/>
    </xf>
    <xf numFmtId="2" fontId="3" fillId="0" borderId="11" xfId="56" applyNumberFormat="1" applyFont="1" applyFill="1" applyBorder="1" applyAlignment="1" applyProtection="1">
      <alignment horizontal="center" vertical="center" wrapText="1"/>
      <protection/>
    </xf>
    <xf numFmtId="2" fontId="3" fillId="33" borderId="12" xfId="56" applyNumberFormat="1" applyFont="1" applyFill="1" applyBorder="1" applyAlignment="1" applyProtection="1">
      <alignment horizontal="center" vertical="center" wrapText="1"/>
      <protection/>
    </xf>
    <xf numFmtId="2" fontId="3" fillId="36" borderId="11" xfId="56" applyNumberFormat="1" applyFont="1" applyFill="1" applyBorder="1" applyAlignment="1" applyProtection="1">
      <alignment horizontal="center" vertical="center" wrapText="1"/>
      <protection/>
    </xf>
    <xf numFmtId="2" fontId="24" fillId="0" borderId="11" xfId="0" applyNumberFormat="1" applyFont="1" applyBorder="1" applyAlignment="1" applyProtection="1">
      <alignment horizontal="center" vertical="center"/>
      <protection/>
    </xf>
    <xf numFmtId="2" fontId="20" fillId="36" borderId="11" xfId="56" applyNumberFormat="1" applyFont="1" applyFill="1" applyBorder="1" applyAlignment="1" applyProtection="1">
      <alignment horizontal="center" vertical="center" wrapText="1"/>
      <protection/>
    </xf>
    <xf numFmtId="4" fontId="20" fillId="39" borderId="11" xfId="56" applyNumberFormat="1" applyFont="1" applyFill="1" applyBorder="1" applyAlignment="1" applyProtection="1">
      <alignment horizontal="center" vertical="center" wrapText="1"/>
      <protection/>
    </xf>
    <xf numFmtId="2" fontId="1" fillId="0" borderId="11" xfId="56" applyNumberFormat="1" applyFont="1" applyBorder="1" applyAlignment="1" applyProtection="1">
      <alignment horizontal="center" vertical="center" wrapText="1"/>
      <protection/>
    </xf>
    <xf numFmtId="4" fontId="3" fillId="0" borderId="12" xfId="56" applyNumberFormat="1" applyFont="1" applyFill="1" applyBorder="1" applyAlignment="1" applyProtection="1">
      <alignment horizontal="center" vertical="center" wrapText="1"/>
      <protection/>
    </xf>
    <xf numFmtId="2" fontId="3" fillId="38" borderId="11" xfId="55" applyNumberFormat="1" applyFont="1" applyFill="1" applyBorder="1" applyAlignment="1" applyProtection="1">
      <alignment horizontal="center" vertical="center" wrapText="1"/>
      <protection/>
    </xf>
    <xf numFmtId="2" fontId="3" fillId="39" borderId="11" xfId="56" applyNumberFormat="1" applyFont="1" applyFill="1" applyBorder="1" applyAlignment="1" applyProtection="1">
      <alignment horizontal="center" vertical="center" wrapText="1"/>
      <protection locked="0"/>
    </xf>
    <xf numFmtId="2" fontId="5" fillId="39" borderId="11" xfId="56" applyNumberFormat="1" applyFont="1" applyFill="1" applyBorder="1" applyAlignment="1" applyProtection="1">
      <alignment horizontal="center" vertical="center" wrapText="1"/>
      <protection locked="0"/>
    </xf>
    <xf numFmtId="2" fontId="4" fillId="40" borderId="11" xfId="56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3" fillId="40" borderId="11" xfId="56" applyNumberFormat="1" applyFont="1" applyFill="1" applyBorder="1" applyAlignment="1" applyProtection="1">
      <alignment horizontal="center" vertical="center" wrapText="1"/>
      <protection/>
    </xf>
    <xf numFmtId="2" fontId="3" fillId="41" borderId="11" xfId="56" applyNumberFormat="1" applyFont="1" applyFill="1" applyBorder="1" applyAlignment="1" applyProtection="1">
      <alignment horizontal="center" vertical="center" wrapText="1"/>
      <protection/>
    </xf>
    <xf numFmtId="2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2" fontId="3" fillId="38" borderId="11" xfId="56" applyNumberFormat="1" applyFont="1" applyFill="1" applyBorder="1" applyAlignment="1" applyProtection="1">
      <alignment horizontal="center" vertical="center" wrapText="1"/>
      <protection/>
    </xf>
    <xf numFmtId="2" fontId="1" fillId="0" borderId="0" xfId="56" applyNumberFormat="1" applyFont="1" applyAlignment="1" applyProtection="1">
      <alignment horizontal="center" vertical="center" wrapText="1"/>
      <protection/>
    </xf>
    <xf numFmtId="2" fontId="3" fillId="39" borderId="12" xfId="56" applyNumberFormat="1" applyFont="1" applyFill="1" applyBorder="1" applyAlignment="1" applyProtection="1">
      <alignment horizontal="center" vertical="center" wrapText="1"/>
      <protection/>
    </xf>
    <xf numFmtId="2" fontId="3" fillId="39" borderId="11" xfId="55" applyNumberFormat="1" applyFont="1" applyFill="1" applyBorder="1" applyAlignment="1" applyProtection="1">
      <alignment horizontal="center" vertical="center" wrapText="1"/>
      <protection locked="0"/>
    </xf>
    <xf numFmtId="2" fontId="3" fillId="39" borderId="11" xfId="54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3" fillId="0" borderId="12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5" fillId="0" borderId="14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54" applyNumberFormat="1" applyFont="1" applyFill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/>
    </xf>
    <xf numFmtId="4" fontId="5" fillId="0" borderId="11" xfId="56" applyNumberFormat="1" applyFont="1" applyFill="1" applyBorder="1" applyAlignment="1" applyProtection="1">
      <alignment horizontal="center" vertical="center" wrapText="1"/>
      <protection/>
    </xf>
    <xf numFmtId="2" fontId="5" fillId="0" borderId="11" xfId="56" applyNumberFormat="1" applyFont="1" applyFill="1" applyBorder="1" applyAlignment="1" applyProtection="1">
      <alignment horizontal="center" vertical="center" wrapText="1"/>
      <protection/>
    </xf>
    <xf numFmtId="2" fontId="10" fillId="0" borderId="11" xfId="56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56" applyNumberFormat="1" applyFont="1" applyFill="1" applyBorder="1" applyAlignment="1" applyProtection="1">
      <alignment horizontal="center" vertical="center" wrapText="1"/>
      <protection/>
    </xf>
    <xf numFmtId="172" fontId="5" fillId="0" borderId="11" xfId="55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54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172" fontId="3" fillId="0" borderId="11" xfId="56" applyNumberFormat="1" applyFont="1" applyFill="1" applyBorder="1" applyAlignment="1" applyProtection="1">
      <alignment horizontal="center" vertical="center" wrapText="1"/>
      <protection/>
    </xf>
    <xf numFmtId="172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172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1" xfId="56" applyNumberFormat="1" applyFont="1" applyFill="1" applyBorder="1" applyAlignment="1" applyProtection="1">
      <alignment horizontal="center" vertical="center" wrapText="1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Alignment="1">
      <alignment/>
    </xf>
    <xf numFmtId="4" fontId="20" fillId="36" borderId="11" xfId="0" applyNumberFormat="1" applyFont="1" applyFill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4" fontId="20" fillId="39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wrapText="1"/>
    </xf>
    <xf numFmtId="4" fontId="3" fillId="42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5" borderId="12" xfId="54" applyNumberFormat="1" applyFont="1" applyFill="1" applyBorder="1" applyAlignment="1" applyProtection="1">
      <alignment horizontal="center" vertical="center" wrapText="1"/>
      <protection/>
    </xf>
    <xf numFmtId="0" fontId="3" fillId="35" borderId="17" xfId="54" applyNumberFormat="1" applyFont="1" applyFill="1" applyBorder="1" applyAlignment="1" applyProtection="1">
      <alignment horizontal="center" vertical="center" wrapText="1"/>
      <protection/>
    </xf>
    <xf numFmtId="49" fontId="4" fillId="33" borderId="20" xfId="52" applyNumberFormat="1" applyFont="1" applyFill="1" applyBorder="1" applyAlignment="1" applyProtection="1">
      <alignment horizontal="right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49" fontId="3" fillId="33" borderId="11" xfId="56" applyNumberFormat="1" applyFont="1" applyFill="1" applyBorder="1" applyAlignment="1" applyProtection="1">
      <alignment horizontal="center" vertical="center" wrapText="1"/>
      <protection/>
    </xf>
    <xf numFmtId="49" fontId="6" fillId="0" borderId="11" xfId="56" applyNumberFormat="1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49" fontId="6" fillId="33" borderId="13" xfId="54" applyNumberFormat="1" applyFont="1" applyFill="1" applyBorder="1" applyAlignment="1" applyProtection="1">
      <alignment horizontal="center" vertical="center" wrapText="1"/>
      <protection/>
    </xf>
    <xf numFmtId="49" fontId="6" fillId="33" borderId="25" xfId="54" applyNumberFormat="1" applyFont="1" applyFill="1" applyBorder="1" applyAlignment="1" applyProtection="1">
      <alignment horizontal="center" vertical="center" wrapText="1"/>
      <protection/>
    </xf>
    <xf numFmtId="49" fontId="6" fillId="33" borderId="14" xfId="54" applyNumberFormat="1" applyFont="1" applyFill="1" applyBorder="1" applyAlignment="1" applyProtection="1">
      <alignment horizontal="center" vertical="center" wrapText="1"/>
      <protection/>
    </xf>
    <xf numFmtId="164" fontId="3" fillId="33" borderId="13" xfId="54" applyNumberFormat="1" applyFont="1" applyFill="1" applyBorder="1" applyAlignment="1" applyProtection="1">
      <alignment horizontal="center" vertical="center" wrapText="1"/>
      <protection/>
    </xf>
    <xf numFmtId="164" fontId="3" fillId="33" borderId="25" xfId="54" applyNumberFormat="1" applyFont="1" applyFill="1" applyBorder="1" applyAlignment="1" applyProtection="1">
      <alignment horizontal="center" vertical="center" wrapText="1"/>
      <protection/>
    </xf>
    <xf numFmtId="164" fontId="3" fillId="33" borderId="14" xfId="54" applyNumberFormat="1" applyFont="1" applyFill="1" applyBorder="1" applyAlignment="1" applyProtection="1">
      <alignment horizontal="center" vertical="center" wrapText="1"/>
      <protection/>
    </xf>
    <xf numFmtId="0" fontId="4" fillId="37" borderId="10" xfId="56" applyNumberFormat="1" applyFont="1" applyFill="1" applyBorder="1" applyAlignment="1" applyProtection="1">
      <alignment horizontal="center" vertical="center" wrapText="1"/>
      <protection/>
    </xf>
    <xf numFmtId="0" fontId="4" fillId="37" borderId="0" xfId="56" applyNumberFormat="1" applyFont="1" applyFill="1" applyBorder="1" applyAlignment="1" applyProtection="1">
      <alignment horizontal="center" vertical="center" wrapText="1"/>
      <protection/>
    </xf>
    <xf numFmtId="0" fontId="3" fillId="38" borderId="26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__________ __ ________ _______ 3" xfId="52"/>
    <cellStyle name="Обычный_BALANCE.WARM.2007YEAR(FACT)" xfId="53"/>
    <cellStyle name="Обычный_Kom kompleks" xfId="54"/>
    <cellStyle name="Обычный_Вода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udyakova\&#1086;&#1073;&#1097;&#1072;&#1103;\Documents%20and%20Settings\Admin.KHUDYAKOVA\&#1056;&#1072;&#1073;&#1086;&#1095;&#1080;&#1081;%20&#1089;&#1090;&#1086;&#1083;\&#1054;&#1073;&#1097;&#1072;&#1103;\&#1101;&#1082;&#1089;&#1087;&#1077;&#1088;&#1090;\&#1069;&#1082;&#1089;&#1087;&#1077;&#1088;&#1090;&#1085;&#1086;&#1077;%20&#1085;&#1086;&#1074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5.2.2.2</v>
          </cell>
          <cell r="Y10" t="str">
            <v>5.2.2.3</v>
          </cell>
          <cell r="Z10" t="str">
            <v>5.2.2.4</v>
          </cell>
          <cell r="AA10" t="str">
            <v>5.2.2.5</v>
          </cell>
          <cell r="AB10" t="str">
            <v>5.2.2.6</v>
          </cell>
          <cell r="AC10" t="str">
            <v>5.2.2.</v>
          </cell>
          <cell r="AD10" t="str">
            <v>5.2.3</v>
          </cell>
          <cell r="AE10" t="str">
            <v>5.2.3.1</v>
          </cell>
          <cell r="AF10" t="str">
            <v>5.2.3.2</v>
          </cell>
          <cell r="AG10" t="str">
            <v>5.2.3.3</v>
          </cell>
          <cell r="AH10" t="str">
            <v>6.1</v>
          </cell>
          <cell r="AI10" t="str">
            <v>6.2</v>
          </cell>
        </row>
        <row r="11">
          <cell r="G11" t="str">
            <v>Всего по МО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3">
          <cell r="F13">
            <v>1</v>
          </cell>
          <cell r="G13" t="str">
            <v>ОАО Водоканал</v>
          </cell>
          <cell r="H13">
            <v>0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  <cell r="U13">
            <v>0</v>
          </cell>
          <cell r="AD13">
            <v>0</v>
          </cell>
        </row>
        <row r="14">
          <cell r="F14">
            <v>2</v>
          </cell>
          <cell r="G14" t="str">
            <v>ООО Горно-Алтайтеплосбыт</v>
          </cell>
          <cell r="H14">
            <v>0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  <cell r="U14">
            <v>0</v>
          </cell>
          <cell r="AD14">
            <v>0</v>
          </cell>
        </row>
        <row r="15">
          <cell r="F15">
            <v>3</v>
          </cell>
          <cell r="G15" t="str">
            <v>ОАО "Темп-2"</v>
          </cell>
          <cell r="H15">
            <v>0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  <cell r="U15">
            <v>0</v>
          </cell>
          <cell r="AD15">
            <v>0</v>
          </cell>
        </row>
        <row r="16">
          <cell r="F16">
            <v>4</v>
          </cell>
          <cell r="G16" t="str">
            <v>МУП "Сейкинское ЖКХ"</v>
          </cell>
          <cell r="H16">
            <v>0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  <cell r="U16">
            <v>0</v>
          </cell>
          <cell r="AD16">
            <v>0</v>
          </cell>
        </row>
        <row r="17">
          <cell r="F17">
            <v>5</v>
          </cell>
          <cell r="G17" t="str">
            <v>МУП "Водоканал"</v>
          </cell>
          <cell r="H17">
            <v>0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  <cell r="U17">
            <v>0</v>
          </cell>
          <cell r="AD17">
            <v>0</v>
          </cell>
        </row>
        <row r="18">
          <cell r="F18">
            <v>6</v>
          </cell>
          <cell r="G18" t="str">
            <v>МУП "ЖКХ"</v>
          </cell>
          <cell r="H18">
            <v>0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  <cell r="U18">
            <v>0</v>
          </cell>
          <cell r="AD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="75" zoomScaleNormal="75" zoomScalePageLayoutView="0" workbookViewId="0" topLeftCell="A1">
      <pane xSplit="4" ySplit="13" topLeftCell="L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4.875" style="0" customWidth="1"/>
    <col min="2" max="2" width="11.625" style="0" customWidth="1"/>
    <col min="3" max="3" width="101.25390625" style="0" customWidth="1"/>
    <col min="4" max="4" width="0" style="0" hidden="1" customWidth="1"/>
    <col min="5" max="5" width="18.00390625" style="0" customWidth="1"/>
    <col min="6" max="6" width="15.875" style="0" customWidth="1"/>
    <col min="7" max="7" width="12.875" style="0" customWidth="1"/>
    <col min="8" max="8" width="13.875" style="0" customWidth="1"/>
    <col min="9" max="9" width="14.375" style="0" customWidth="1"/>
    <col min="10" max="10" width="14.125" style="0" hidden="1" customWidth="1"/>
    <col min="11" max="11" width="15.875" style="0" customWidth="1"/>
    <col min="12" max="12" width="9.875" style="152" customWidth="1"/>
    <col min="13" max="13" width="15.00390625" style="72" customWidth="1"/>
    <col min="14" max="14" width="14.25390625" style="72" customWidth="1"/>
    <col min="15" max="16" width="15.375" style="72" customWidth="1"/>
    <col min="17" max="17" width="15.375" style="84" customWidth="1"/>
    <col min="18" max="20" width="19.375" style="72" customWidth="1"/>
  </cols>
  <sheetData>
    <row r="1" spans="12:13" ht="14.25">
      <c r="L1" s="140"/>
      <c r="M1" s="71"/>
    </row>
    <row r="2" spans="9:20" ht="14.25">
      <c r="I2" s="154"/>
      <c r="J2" s="154"/>
      <c r="K2" s="154"/>
      <c r="L2" s="154"/>
      <c r="M2" s="194"/>
      <c r="N2" s="194"/>
      <c r="O2" s="156"/>
      <c r="P2" s="156"/>
      <c r="Q2" s="158"/>
      <c r="R2" s="156"/>
      <c r="S2" s="156"/>
      <c r="T2" s="156"/>
    </row>
    <row r="3" spans="9:20" ht="14.25">
      <c r="I3" s="155"/>
      <c r="J3" s="155"/>
      <c r="K3" s="155"/>
      <c r="L3" s="155"/>
      <c r="M3" s="195"/>
      <c r="N3" s="195"/>
      <c r="O3" s="195"/>
      <c r="P3" s="182"/>
      <c r="Q3" s="159"/>
      <c r="R3"/>
      <c r="S3"/>
      <c r="T3"/>
    </row>
    <row r="4" spans="9:20" ht="14.25">
      <c r="I4" s="155"/>
      <c r="J4" s="155"/>
      <c r="K4" s="155"/>
      <c r="L4" s="155"/>
      <c r="M4" s="195"/>
      <c r="N4" s="195"/>
      <c r="O4" s="195"/>
      <c r="P4" s="182"/>
      <c r="Q4" s="159"/>
      <c r="R4"/>
      <c r="S4"/>
      <c r="T4"/>
    </row>
    <row r="5" spans="8:20" ht="14.25">
      <c r="H5" s="70"/>
      <c r="I5" s="155"/>
      <c r="J5" s="155"/>
      <c r="K5" s="155"/>
      <c r="L5" s="155"/>
      <c r="M5" s="196"/>
      <c r="N5" s="196"/>
      <c r="O5" s="196"/>
      <c r="P5" s="183"/>
      <c r="Q5" s="160"/>
      <c r="R5"/>
      <c r="S5"/>
      <c r="T5"/>
    </row>
    <row r="6" spans="1:20" ht="14.25">
      <c r="A6" s="62"/>
      <c r="B6" s="62"/>
      <c r="C6" s="62"/>
      <c r="D6" s="62"/>
      <c r="E6" s="62"/>
      <c r="F6" s="62"/>
      <c r="G6" s="62"/>
      <c r="H6" s="62"/>
      <c r="I6" s="197"/>
      <c r="J6" s="197"/>
      <c r="K6" s="197"/>
      <c r="L6" s="197"/>
      <c r="M6" s="197"/>
      <c r="N6" s="198"/>
      <c r="O6" s="198"/>
      <c r="P6" s="181"/>
      <c r="Q6" s="161"/>
      <c r="R6"/>
      <c r="S6"/>
      <c r="T6"/>
    </row>
    <row r="7" spans="1:12" ht="16.5">
      <c r="A7" s="1"/>
      <c r="B7" s="59"/>
      <c r="C7" s="60"/>
      <c r="D7" s="61"/>
      <c r="E7" s="61"/>
      <c r="F7" s="61"/>
      <c r="G7" s="61"/>
      <c r="H7" s="61"/>
      <c r="I7" s="61"/>
      <c r="J7" s="61"/>
      <c r="K7" s="61"/>
      <c r="L7" s="78"/>
    </row>
    <row r="8" spans="1:12" ht="56.25" customHeight="1">
      <c r="A8" s="1"/>
      <c r="B8" s="219" t="s">
        <v>197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2" ht="15">
      <c r="A9" s="1"/>
      <c r="B9" s="203" t="s">
        <v>0</v>
      </c>
      <c r="C9" s="203"/>
      <c r="D9" s="2"/>
      <c r="E9" s="2"/>
      <c r="F9" s="2"/>
      <c r="G9" s="2"/>
      <c r="H9" s="2"/>
      <c r="I9" s="2"/>
      <c r="J9" s="2"/>
      <c r="K9" s="2"/>
      <c r="L9" s="78"/>
    </row>
    <row r="10" spans="1:22" ht="15" customHeight="1" thickBot="1">
      <c r="A10" s="1"/>
      <c r="B10" s="213" t="s">
        <v>1</v>
      </c>
      <c r="C10" s="216" t="s">
        <v>2</v>
      </c>
      <c r="D10" s="3"/>
      <c r="E10" s="46">
        <v>1</v>
      </c>
      <c r="F10" s="46">
        <v>2</v>
      </c>
      <c r="G10" s="46">
        <v>3</v>
      </c>
      <c r="H10" s="46">
        <v>4</v>
      </c>
      <c r="I10" s="46">
        <v>5</v>
      </c>
      <c r="J10" s="46">
        <v>4</v>
      </c>
      <c r="K10" s="46">
        <v>6</v>
      </c>
      <c r="L10" s="68">
        <v>7</v>
      </c>
      <c r="M10" s="46">
        <v>8</v>
      </c>
      <c r="N10" s="73">
        <v>9</v>
      </c>
      <c r="O10" s="74">
        <v>10</v>
      </c>
      <c r="P10" s="74"/>
      <c r="Q10" s="74">
        <v>11</v>
      </c>
      <c r="R10" s="74">
        <v>12</v>
      </c>
      <c r="S10" s="74">
        <v>13</v>
      </c>
      <c r="T10" s="74">
        <v>14</v>
      </c>
      <c r="U10" s="223">
        <v>15</v>
      </c>
      <c r="V10" s="224"/>
    </row>
    <row r="11" spans="1:22" ht="12.75" customHeight="1">
      <c r="A11" s="1"/>
      <c r="B11" s="214"/>
      <c r="C11" s="217"/>
      <c r="D11" s="3"/>
      <c r="E11" s="211" t="s">
        <v>118</v>
      </c>
      <c r="F11" s="199" t="s">
        <v>119</v>
      </c>
      <c r="G11" s="204" t="s">
        <v>120</v>
      </c>
      <c r="H11" s="199" t="s">
        <v>175</v>
      </c>
      <c r="I11" s="221" t="s">
        <v>172</v>
      </c>
      <c r="J11" s="199" t="s">
        <v>176</v>
      </c>
      <c r="K11" s="199" t="s">
        <v>178</v>
      </c>
      <c r="L11" s="206" t="s">
        <v>171</v>
      </c>
      <c r="M11" s="199" t="s">
        <v>179</v>
      </c>
      <c r="N11" s="199" t="s">
        <v>180</v>
      </c>
      <c r="O11" s="191" t="s">
        <v>191</v>
      </c>
      <c r="P11" s="184"/>
      <c r="Q11" s="192" t="s">
        <v>193</v>
      </c>
      <c r="R11" s="191" t="s">
        <v>192</v>
      </c>
      <c r="S11" s="190" t="s">
        <v>194</v>
      </c>
      <c r="T11" s="190" t="s">
        <v>195</v>
      </c>
      <c r="U11" s="225" t="s">
        <v>198</v>
      </c>
      <c r="V11" s="226"/>
    </row>
    <row r="12" spans="1:22" ht="57.75" customHeight="1" thickBot="1">
      <c r="A12" s="1"/>
      <c r="B12" s="215"/>
      <c r="C12" s="218"/>
      <c r="D12" s="3"/>
      <c r="E12" s="212"/>
      <c r="F12" s="200"/>
      <c r="G12" s="205"/>
      <c r="H12" s="200"/>
      <c r="I12" s="222"/>
      <c r="J12" s="200"/>
      <c r="K12" s="200"/>
      <c r="L12" s="207"/>
      <c r="M12" s="200"/>
      <c r="N12" s="200"/>
      <c r="O12" s="191"/>
      <c r="P12" s="185"/>
      <c r="Q12" s="193"/>
      <c r="R12" s="191"/>
      <c r="S12" s="190"/>
      <c r="T12" s="190"/>
      <c r="U12" s="227"/>
      <c r="V12" s="228"/>
    </row>
    <row r="13" spans="1:22" ht="14.25">
      <c r="A13" s="4"/>
      <c r="B13" s="5" t="s">
        <v>3</v>
      </c>
      <c r="C13" s="6" t="s">
        <v>4</v>
      </c>
      <c r="D13" s="3"/>
      <c r="E13" s="47" t="s">
        <v>164</v>
      </c>
      <c r="F13" s="47" t="s">
        <v>164</v>
      </c>
      <c r="G13" s="47" t="s">
        <v>164</v>
      </c>
      <c r="H13" s="47" t="s">
        <v>164</v>
      </c>
      <c r="I13" s="47" t="s">
        <v>164</v>
      </c>
      <c r="J13" s="47" t="s">
        <v>164</v>
      </c>
      <c r="K13" s="47" t="s">
        <v>164</v>
      </c>
      <c r="L13" s="141"/>
      <c r="M13" s="47" t="s">
        <v>164</v>
      </c>
      <c r="N13" s="75" t="s">
        <v>164</v>
      </c>
      <c r="O13" s="76" t="s">
        <v>164</v>
      </c>
      <c r="P13" s="76"/>
      <c r="Q13" s="162"/>
      <c r="R13" s="76" t="s">
        <v>164</v>
      </c>
      <c r="S13" s="76" t="s">
        <v>164</v>
      </c>
      <c r="T13" s="76" t="s">
        <v>164</v>
      </c>
      <c r="U13" s="223"/>
      <c r="V13" s="224"/>
    </row>
    <row r="14" spans="1:22" ht="14.25">
      <c r="A14" s="4"/>
      <c r="B14" s="5" t="s">
        <v>5</v>
      </c>
      <c r="C14" s="49" t="s">
        <v>136</v>
      </c>
      <c r="D14" s="36"/>
      <c r="E14" s="201"/>
      <c r="F14" s="202"/>
      <c r="G14" s="202"/>
      <c r="H14" s="202"/>
      <c r="I14" s="67"/>
      <c r="J14" s="67"/>
      <c r="K14" s="67"/>
      <c r="L14" s="142"/>
      <c r="M14" s="83"/>
      <c r="N14" s="67"/>
      <c r="O14" s="77"/>
      <c r="P14" s="77"/>
      <c r="Q14" s="162"/>
      <c r="R14" s="77"/>
      <c r="S14" s="77"/>
      <c r="T14" s="77"/>
      <c r="U14" s="223"/>
      <c r="V14" s="224"/>
    </row>
    <row r="15" spans="1:22" ht="14.25">
      <c r="A15" s="4"/>
      <c r="B15" s="5" t="s">
        <v>137</v>
      </c>
      <c r="C15" s="6" t="s">
        <v>139</v>
      </c>
      <c r="D15" s="3"/>
      <c r="E15" s="85" t="s">
        <v>168</v>
      </c>
      <c r="F15" s="85" t="s">
        <v>169</v>
      </c>
      <c r="G15" s="76">
        <v>160.9</v>
      </c>
      <c r="H15" s="85" t="s">
        <v>169</v>
      </c>
      <c r="I15" s="76">
        <v>160.9</v>
      </c>
      <c r="J15" s="85" t="s">
        <v>177</v>
      </c>
      <c r="K15" s="86">
        <f>H15/12*6</f>
        <v>118.35</v>
      </c>
      <c r="L15" s="87"/>
      <c r="M15" s="86">
        <f>(J15-K15)/6*2</f>
        <v>37.555</v>
      </c>
      <c r="N15" s="88">
        <f>J15-K15-M15</f>
        <v>75.10999999999999</v>
      </c>
      <c r="O15" s="89">
        <f>K15+M15+N15</f>
        <v>231.015</v>
      </c>
      <c r="P15" s="89"/>
      <c r="Q15" s="163"/>
      <c r="R15" s="89">
        <f>R16+R19</f>
        <v>201.2</v>
      </c>
      <c r="S15" s="89">
        <f>S16+S19</f>
        <v>100.6</v>
      </c>
      <c r="T15" s="89">
        <f>T16+T19</f>
        <v>100.6</v>
      </c>
      <c r="U15" s="223"/>
      <c r="V15" s="224"/>
    </row>
    <row r="16" spans="1:22" ht="14.25">
      <c r="A16" s="4"/>
      <c r="B16" s="5" t="s">
        <v>138</v>
      </c>
      <c r="C16" s="6" t="s">
        <v>140</v>
      </c>
      <c r="D16" s="3"/>
      <c r="E16" s="76">
        <v>136.25</v>
      </c>
      <c r="F16" s="76">
        <v>225.5</v>
      </c>
      <c r="G16" s="76">
        <v>146.8</v>
      </c>
      <c r="H16" s="76">
        <v>225.5</v>
      </c>
      <c r="I16" s="76">
        <v>219.815</v>
      </c>
      <c r="J16" s="76">
        <v>219.815</v>
      </c>
      <c r="K16" s="86">
        <f>H16/12*6</f>
        <v>112.75</v>
      </c>
      <c r="L16" s="87"/>
      <c r="M16" s="86">
        <f>(J16-K16)/6*2</f>
        <v>35.68833333333333</v>
      </c>
      <c r="N16" s="88">
        <f>J16-K16-M16</f>
        <v>71.37666666666667</v>
      </c>
      <c r="O16" s="89">
        <f>K16+M16+N16</f>
        <v>219.815</v>
      </c>
      <c r="P16" s="89"/>
      <c r="Q16" s="163"/>
      <c r="R16" s="89">
        <f>R17+R18</f>
        <v>190</v>
      </c>
      <c r="S16" s="89">
        <f>S17+S18</f>
        <v>95</v>
      </c>
      <c r="T16" s="89">
        <f>T17+T18</f>
        <v>95</v>
      </c>
      <c r="U16" s="223"/>
      <c r="V16" s="224"/>
    </row>
    <row r="17" spans="1:22" ht="14.25">
      <c r="A17" s="4"/>
      <c r="B17" s="5" t="s">
        <v>147</v>
      </c>
      <c r="C17" s="6" t="s">
        <v>141</v>
      </c>
      <c r="D17" s="3"/>
      <c r="E17" s="76">
        <v>29.1</v>
      </c>
      <c r="F17" s="76">
        <v>39.4</v>
      </c>
      <c r="G17" s="76">
        <v>26</v>
      </c>
      <c r="H17" s="76">
        <v>39.4</v>
      </c>
      <c r="I17" s="76">
        <v>43.198</v>
      </c>
      <c r="J17" s="76">
        <v>43.198</v>
      </c>
      <c r="K17" s="86">
        <f>H17/12*6</f>
        <v>19.7</v>
      </c>
      <c r="L17" s="87"/>
      <c r="M17" s="86">
        <f>(J17-K17)/6*2</f>
        <v>7.832666666666667</v>
      </c>
      <c r="N17" s="88">
        <f>J17-K17-M17</f>
        <v>15.665333333333333</v>
      </c>
      <c r="O17" s="89">
        <f>K17+M17+N17</f>
        <v>43.198</v>
      </c>
      <c r="P17" s="89"/>
      <c r="Q17" s="163"/>
      <c r="R17" s="89">
        <v>20</v>
      </c>
      <c r="S17" s="89">
        <v>10</v>
      </c>
      <c r="T17" s="89">
        <v>10</v>
      </c>
      <c r="U17" s="223"/>
      <c r="V17" s="224"/>
    </row>
    <row r="18" spans="1:22" ht="14.25">
      <c r="A18" s="4"/>
      <c r="B18" s="5" t="s">
        <v>148</v>
      </c>
      <c r="C18" s="44" t="s">
        <v>142</v>
      </c>
      <c r="D18" s="45"/>
      <c r="E18" s="90">
        <f>E20+E21+E22</f>
        <v>107.14999999999999</v>
      </c>
      <c r="F18" s="90">
        <f>F20+F21+F22</f>
        <v>186.1</v>
      </c>
      <c r="G18" s="91">
        <v>120.8</v>
      </c>
      <c r="H18" s="90">
        <f aca="true" t="shared" si="0" ref="H18:O18">H20+H21+H22</f>
        <v>170</v>
      </c>
      <c r="I18" s="92">
        <f t="shared" si="0"/>
        <v>176.61700000000002</v>
      </c>
      <c r="J18" s="90">
        <f t="shared" si="0"/>
        <v>176.61700000000002</v>
      </c>
      <c r="K18" s="90">
        <f t="shared" si="0"/>
        <v>85</v>
      </c>
      <c r="L18" s="143"/>
      <c r="M18" s="92">
        <f>M20+M21+M22</f>
        <v>28.333333333333336</v>
      </c>
      <c r="N18" s="92">
        <f>N20+N21+N22</f>
        <v>56.666666666666664</v>
      </c>
      <c r="O18" s="90">
        <f t="shared" si="0"/>
        <v>170</v>
      </c>
      <c r="P18" s="90"/>
      <c r="Q18" s="164"/>
      <c r="R18" s="92">
        <v>170</v>
      </c>
      <c r="S18" s="92">
        <f>R18/2</f>
        <v>85</v>
      </c>
      <c r="T18" s="92">
        <f>R18-S18</f>
        <v>85</v>
      </c>
      <c r="U18" s="223"/>
      <c r="V18" s="224"/>
    </row>
    <row r="19" spans="1:22" ht="14.25">
      <c r="A19" s="4"/>
      <c r="B19" s="5" t="s">
        <v>149</v>
      </c>
      <c r="C19" s="6" t="s">
        <v>143</v>
      </c>
      <c r="D19" s="3"/>
      <c r="E19" s="76">
        <v>9.2</v>
      </c>
      <c r="F19" s="76">
        <v>11.2</v>
      </c>
      <c r="G19" s="76">
        <v>14.1</v>
      </c>
      <c r="H19" s="76">
        <v>11.2</v>
      </c>
      <c r="I19" s="76">
        <v>11.2</v>
      </c>
      <c r="J19" s="76">
        <v>11.2</v>
      </c>
      <c r="K19" s="86">
        <f>H19/12*6</f>
        <v>5.6</v>
      </c>
      <c r="L19" s="87"/>
      <c r="M19" s="86">
        <f>(H19-K19)/6*2</f>
        <v>1.8666666666666665</v>
      </c>
      <c r="N19" s="88">
        <f>H19-K19-M19</f>
        <v>3.7333333333333334</v>
      </c>
      <c r="O19" s="89">
        <f>K19+M19+N19</f>
        <v>11.2</v>
      </c>
      <c r="P19" s="89"/>
      <c r="Q19" s="163"/>
      <c r="R19" s="89">
        <f>O19</f>
        <v>11.2</v>
      </c>
      <c r="S19" s="89">
        <f>R19/2</f>
        <v>5.6</v>
      </c>
      <c r="T19" s="89">
        <f>R19-S19</f>
        <v>5.6</v>
      </c>
      <c r="U19" s="223"/>
      <c r="V19" s="224"/>
    </row>
    <row r="20" spans="1:22" ht="14.25">
      <c r="A20" s="4"/>
      <c r="B20" s="5" t="s">
        <v>150</v>
      </c>
      <c r="C20" s="6" t="s">
        <v>145</v>
      </c>
      <c r="D20" s="3"/>
      <c r="E20" s="76">
        <v>83.85</v>
      </c>
      <c r="F20" s="76">
        <v>158.5</v>
      </c>
      <c r="G20" s="76">
        <v>95.6</v>
      </c>
      <c r="H20" s="76">
        <v>144.8</v>
      </c>
      <c r="I20" s="76">
        <v>151.399</v>
      </c>
      <c r="J20" s="76">
        <v>151.399</v>
      </c>
      <c r="K20" s="86">
        <f>H20/12*6</f>
        <v>72.4</v>
      </c>
      <c r="L20" s="87"/>
      <c r="M20" s="86">
        <f>(H20-K20)/6*2</f>
        <v>24.133333333333336</v>
      </c>
      <c r="N20" s="88">
        <f>H20-K20-M20</f>
        <v>48.266666666666666</v>
      </c>
      <c r="O20" s="89">
        <f>K20+M20+N20</f>
        <v>144.8</v>
      </c>
      <c r="P20" s="89"/>
      <c r="Q20" s="163"/>
      <c r="R20" s="89">
        <v>144.8</v>
      </c>
      <c r="S20" s="89">
        <f>R20/2</f>
        <v>72.4</v>
      </c>
      <c r="T20" s="89">
        <f>R20-S20</f>
        <v>72.4</v>
      </c>
      <c r="U20" s="223"/>
      <c r="V20" s="224"/>
    </row>
    <row r="21" spans="1:22" ht="14.25">
      <c r="A21" s="4"/>
      <c r="B21" s="5" t="s">
        <v>151</v>
      </c>
      <c r="C21" s="6" t="s">
        <v>144</v>
      </c>
      <c r="D21" s="3"/>
      <c r="E21" s="76">
        <v>12.3</v>
      </c>
      <c r="F21" s="76">
        <v>24.5</v>
      </c>
      <c r="G21" s="76">
        <v>22.1</v>
      </c>
      <c r="H21" s="76">
        <v>22.1</v>
      </c>
      <c r="I21" s="76">
        <v>22.055</v>
      </c>
      <c r="J21" s="76">
        <v>22.055</v>
      </c>
      <c r="K21" s="86">
        <f>H21/12*6</f>
        <v>11.05</v>
      </c>
      <c r="L21" s="87"/>
      <c r="M21" s="86">
        <f>(H21-K21)/6*2</f>
        <v>3.6833333333333336</v>
      </c>
      <c r="N21" s="88">
        <f>H21-K21-M21</f>
        <v>7.366666666666667</v>
      </c>
      <c r="O21" s="89">
        <f>K21+M21+N21</f>
        <v>22.1</v>
      </c>
      <c r="P21" s="89"/>
      <c r="Q21" s="163"/>
      <c r="R21" s="89">
        <f>O21</f>
        <v>22.1</v>
      </c>
      <c r="S21" s="89">
        <f>R21/2</f>
        <v>11.05</v>
      </c>
      <c r="T21" s="89">
        <f>R21-S21</f>
        <v>11.05</v>
      </c>
      <c r="U21" s="223"/>
      <c r="V21" s="224"/>
    </row>
    <row r="22" spans="1:22" ht="14.25">
      <c r="A22" s="4"/>
      <c r="B22" s="5" t="s">
        <v>152</v>
      </c>
      <c r="C22" s="6" t="s">
        <v>146</v>
      </c>
      <c r="D22" s="3"/>
      <c r="E22" s="85" t="s">
        <v>170</v>
      </c>
      <c r="F22" s="76">
        <v>3.1</v>
      </c>
      <c r="G22" s="76">
        <v>3.1</v>
      </c>
      <c r="H22" s="76">
        <v>3.1</v>
      </c>
      <c r="I22" s="76">
        <v>3.163</v>
      </c>
      <c r="J22" s="76">
        <v>3.163</v>
      </c>
      <c r="K22" s="86">
        <f>H22/12*6</f>
        <v>1.5500000000000003</v>
      </c>
      <c r="L22" s="87"/>
      <c r="M22" s="86">
        <f>(H22-K22)/6*2</f>
        <v>0.5166666666666666</v>
      </c>
      <c r="N22" s="88">
        <f>H22-K22-M22</f>
        <v>1.0333333333333332</v>
      </c>
      <c r="O22" s="89">
        <f>K22+M22+N22</f>
        <v>3.1</v>
      </c>
      <c r="P22" s="89"/>
      <c r="Q22" s="163"/>
      <c r="R22" s="89">
        <f>O22</f>
        <v>3.1</v>
      </c>
      <c r="S22" s="89">
        <f>R22/2</f>
        <v>1.55</v>
      </c>
      <c r="T22" s="89">
        <f>R22-S22</f>
        <v>1.55</v>
      </c>
      <c r="U22" s="223"/>
      <c r="V22" s="224"/>
    </row>
    <row r="23" spans="1:22" ht="14.25">
      <c r="A23" s="7"/>
      <c r="B23" s="8" t="s">
        <v>6</v>
      </c>
      <c r="C23" s="48" t="s">
        <v>7</v>
      </c>
      <c r="D23" s="36"/>
      <c r="E23" s="63">
        <f aca="true" t="shared" si="1" ref="E23:K23">E25+E33+E36+E37+E38+E42+E58+E68+E74+E80+E81+E82+E67+E51</f>
        <v>4906.2208</v>
      </c>
      <c r="F23" s="63">
        <f t="shared" si="1"/>
        <v>6007.9000000000015</v>
      </c>
      <c r="G23" s="63">
        <f t="shared" si="1"/>
        <v>6577.0334</v>
      </c>
      <c r="H23" s="63">
        <f t="shared" si="1"/>
        <v>6512.2128808</v>
      </c>
      <c r="I23" s="63">
        <f>I25+I33+I36+I37+I38+I42+I58+I68+I74+I80+I81+I82+I67+I51</f>
        <v>7107.51076</v>
      </c>
      <c r="J23" s="63">
        <f t="shared" si="1"/>
        <v>4216.017672899467</v>
      </c>
      <c r="K23" s="63">
        <f t="shared" si="1"/>
        <v>3256.4047838999995</v>
      </c>
      <c r="L23" s="144"/>
      <c r="M23" s="63">
        <f>M25+M33+M36+M37+M38+M42+M58+M66+M72</f>
        <v>1150.5689826702665</v>
      </c>
      <c r="N23" s="63">
        <f>N25+N33+N36+N37+N38+N42+N58+N66+N72</f>
        <v>2410.0527653405334</v>
      </c>
      <c r="O23" s="63">
        <f>O25+O33+O36+O37+O38+O42+O58+O68+O74+O80+O81+O82+O67+O51</f>
        <v>7017.646554120799</v>
      </c>
      <c r="P23" s="63"/>
      <c r="Q23" s="79"/>
      <c r="R23" s="63">
        <f>R25+R33+R36+R37+R38+R42+R58+R68+R74+R80+R81+R82+R67+R51</f>
        <v>7464.577723132392</v>
      </c>
      <c r="S23" s="63">
        <f>S25+S33+S36+S37+S38+S42+S58+S68+S74+S80+S81+S82+S67+S51</f>
        <v>3615.0499999999997</v>
      </c>
      <c r="T23" s="63">
        <f>T25+T33+T36+T37+T38+T42+T58+T68+T74+T80+T81+T82+T67+T51</f>
        <v>3849.5277231323907</v>
      </c>
      <c r="U23" s="223"/>
      <c r="V23" s="224"/>
    </row>
    <row r="24" spans="1:22" ht="15" customHeight="1">
      <c r="A24" s="7"/>
      <c r="B24" s="9" t="s">
        <v>8</v>
      </c>
      <c r="C24" s="10" t="s">
        <v>9</v>
      </c>
      <c r="D24" s="3"/>
      <c r="E24" s="93"/>
      <c r="F24" s="93"/>
      <c r="G24" s="93"/>
      <c r="H24" s="93"/>
      <c r="I24" s="93"/>
      <c r="J24" s="93"/>
      <c r="K24" s="93"/>
      <c r="L24" s="144"/>
      <c r="M24" s="93"/>
      <c r="N24" s="94"/>
      <c r="O24" s="95"/>
      <c r="P24" s="95"/>
      <c r="Q24" s="95"/>
      <c r="R24" s="95"/>
      <c r="S24" s="95"/>
      <c r="T24" s="95"/>
      <c r="U24" s="223"/>
      <c r="V24" s="224"/>
    </row>
    <row r="25" spans="1:22" ht="15">
      <c r="A25" s="7"/>
      <c r="B25" s="11" t="s">
        <v>10</v>
      </c>
      <c r="C25" s="37" t="s">
        <v>11</v>
      </c>
      <c r="D25" s="38"/>
      <c r="E25" s="96">
        <f>E26</f>
        <v>855.0108</v>
      </c>
      <c r="F25" s="96">
        <v>1142.41</v>
      </c>
      <c r="G25" s="96">
        <f>G26</f>
        <v>896.2434000000001</v>
      </c>
      <c r="H25" s="96">
        <f>H26</f>
        <v>1204.3616</v>
      </c>
      <c r="I25" s="96">
        <f>I26</f>
        <v>1373.2992000000002</v>
      </c>
      <c r="J25" s="96">
        <f>J26</f>
        <v>602.1808</v>
      </c>
      <c r="K25" s="96">
        <f>H25/12*6</f>
        <v>602.1808</v>
      </c>
      <c r="L25" s="87">
        <v>1.08</v>
      </c>
      <c r="M25" s="96">
        <f>(H25*L25-K25)/6*2</f>
        <v>232.8432426666667</v>
      </c>
      <c r="N25" s="97">
        <f>(H25*L25)-(K25+M25)+72.59</f>
        <v>538.2764853333334</v>
      </c>
      <c r="O25" s="98">
        <f>K25+M25+N25</f>
        <v>1373.3005280000002</v>
      </c>
      <c r="P25" s="98"/>
      <c r="Q25" s="174">
        <v>1.12</v>
      </c>
      <c r="R25" s="187">
        <f>R26</f>
        <v>1538.0951040000004</v>
      </c>
      <c r="S25" s="98">
        <f>R25/2</f>
        <v>769.0475520000002</v>
      </c>
      <c r="T25" s="98">
        <f>R25-S25</f>
        <v>769.0475520000002</v>
      </c>
      <c r="U25" s="223"/>
      <c r="V25" s="224"/>
    </row>
    <row r="26" spans="1:22" ht="15">
      <c r="A26" s="7"/>
      <c r="B26" s="9" t="s">
        <v>182</v>
      </c>
      <c r="C26" s="13" t="s">
        <v>12</v>
      </c>
      <c r="D26" s="12"/>
      <c r="E26" s="99">
        <f>E27*E28</f>
        <v>855.0108</v>
      </c>
      <c r="F26" s="99">
        <f>F27*F28</f>
        <v>1142.4124</v>
      </c>
      <c r="G26" s="99">
        <f>G27*G28</f>
        <v>896.2434000000001</v>
      </c>
      <c r="H26" s="99">
        <f>H27*H28</f>
        <v>1204.3616</v>
      </c>
      <c r="I26" s="99">
        <f>I27*I28</f>
        <v>1373.2992000000002</v>
      </c>
      <c r="J26" s="99">
        <f>K26+M26</f>
        <v>602.1808</v>
      </c>
      <c r="K26" s="87">
        <f>K28*K27</f>
        <v>602.1808</v>
      </c>
      <c r="L26" s="87"/>
      <c r="M26" s="99"/>
      <c r="N26" s="100"/>
      <c r="O26" s="95">
        <f>O27*O28</f>
        <v>1373.2992000000002</v>
      </c>
      <c r="P26" s="95"/>
      <c r="Q26" s="173"/>
      <c r="R26" s="186">
        <f>R27*R28</f>
        <v>1538.0951040000004</v>
      </c>
      <c r="S26" s="95"/>
      <c r="T26" s="95"/>
      <c r="U26" s="223"/>
      <c r="V26" s="224"/>
    </row>
    <row r="27" spans="1:22" ht="15">
      <c r="A27" s="7"/>
      <c r="B27" s="9" t="s">
        <v>183</v>
      </c>
      <c r="C27" s="14" t="s">
        <v>13</v>
      </c>
      <c r="D27" s="12"/>
      <c r="E27" s="101">
        <v>3.33</v>
      </c>
      <c r="F27" s="101">
        <v>3.83</v>
      </c>
      <c r="G27" s="101">
        <v>4.42</v>
      </c>
      <c r="H27" s="101">
        <v>4.42</v>
      </c>
      <c r="I27" s="101">
        <v>5.04</v>
      </c>
      <c r="J27" s="101">
        <f>(K27*K28+M27*M28)/(K28+M28)</f>
        <v>4.42</v>
      </c>
      <c r="K27" s="101">
        <f>H27</f>
        <v>4.42</v>
      </c>
      <c r="L27" s="102"/>
      <c r="M27" s="101"/>
      <c r="N27" s="101"/>
      <c r="O27" s="101">
        <v>5.04</v>
      </c>
      <c r="P27" s="101"/>
      <c r="Q27" s="87"/>
      <c r="R27" s="101">
        <f>O27*Q25</f>
        <v>5.644800000000001</v>
      </c>
      <c r="S27" s="101"/>
      <c r="T27" s="101"/>
      <c r="U27" s="223"/>
      <c r="V27" s="224"/>
    </row>
    <row r="28" spans="1:22" ht="15">
      <c r="A28" s="7"/>
      <c r="B28" s="9" t="s">
        <v>184</v>
      </c>
      <c r="C28" s="14" t="s">
        <v>14</v>
      </c>
      <c r="D28" s="12"/>
      <c r="E28" s="101">
        <v>256.76</v>
      </c>
      <c r="F28" s="101">
        <v>298.28</v>
      </c>
      <c r="G28" s="101">
        <v>202.77</v>
      </c>
      <c r="H28" s="101">
        <v>272.48</v>
      </c>
      <c r="I28" s="101">
        <v>272.48</v>
      </c>
      <c r="J28" s="101">
        <v>272.48</v>
      </c>
      <c r="K28" s="101">
        <f>H28/12*6</f>
        <v>136.24</v>
      </c>
      <c r="L28" s="102"/>
      <c r="M28" s="101"/>
      <c r="N28" s="101"/>
      <c r="O28" s="101">
        <f>I28</f>
        <v>272.48</v>
      </c>
      <c r="P28" s="101"/>
      <c r="Q28" s="87"/>
      <c r="R28" s="101">
        <f>O28/O18*R18</f>
        <v>272.48</v>
      </c>
      <c r="S28" s="101"/>
      <c r="T28" s="101"/>
      <c r="U28" s="223"/>
      <c r="V28" s="224"/>
    </row>
    <row r="29" spans="1:22" ht="15">
      <c r="A29" s="7"/>
      <c r="B29" s="9" t="s">
        <v>185</v>
      </c>
      <c r="C29" s="13" t="s">
        <v>15</v>
      </c>
      <c r="D29" s="12"/>
      <c r="E29" s="103"/>
      <c r="F29" s="103"/>
      <c r="G29" s="103"/>
      <c r="H29" s="103"/>
      <c r="I29" s="103">
        <f>I27/H27</f>
        <v>1.1402714932126696</v>
      </c>
      <c r="J29" s="103"/>
      <c r="K29" s="103"/>
      <c r="L29" s="102"/>
      <c r="M29" s="103"/>
      <c r="N29" s="104"/>
      <c r="O29" s="105"/>
      <c r="P29" s="105"/>
      <c r="Q29" s="165"/>
      <c r="R29" s="105"/>
      <c r="S29" s="105"/>
      <c r="T29" s="105"/>
      <c r="U29" s="223"/>
      <c r="V29" s="224"/>
    </row>
    <row r="30" spans="1:22" ht="15">
      <c r="A30" s="7"/>
      <c r="B30" s="9" t="s">
        <v>186</v>
      </c>
      <c r="C30" s="14" t="s">
        <v>13</v>
      </c>
      <c r="D30" s="12"/>
      <c r="E30" s="101"/>
      <c r="F30" s="101"/>
      <c r="G30" s="101"/>
      <c r="H30" s="101"/>
      <c r="I30" s="101"/>
      <c r="J30" s="101"/>
      <c r="K30" s="101"/>
      <c r="L30" s="102"/>
      <c r="M30" s="101"/>
      <c r="N30" s="106"/>
      <c r="O30" s="107"/>
      <c r="P30" s="107"/>
      <c r="Q30" s="165"/>
      <c r="R30" s="107"/>
      <c r="S30" s="107"/>
      <c r="T30" s="107"/>
      <c r="U30" s="223"/>
      <c r="V30" s="224"/>
    </row>
    <row r="31" spans="1:22" ht="15">
      <c r="A31" s="7"/>
      <c r="B31" s="9" t="s">
        <v>187</v>
      </c>
      <c r="C31" s="14" t="s">
        <v>14</v>
      </c>
      <c r="D31" s="12"/>
      <c r="E31" s="101"/>
      <c r="F31" s="101"/>
      <c r="G31" s="101"/>
      <c r="H31" s="101"/>
      <c r="I31" s="101"/>
      <c r="J31" s="101"/>
      <c r="K31" s="101"/>
      <c r="L31" s="102"/>
      <c r="M31" s="101"/>
      <c r="N31" s="106"/>
      <c r="O31" s="107"/>
      <c r="P31" s="107"/>
      <c r="Q31" s="165"/>
      <c r="R31" s="107"/>
      <c r="S31" s="107"/>
      <c r="T31" s="107"/>
      <c r="U31" s="223"/>
      <c r="V31" s="224"/>
    </row>
    <row r="32" spans="1:22" ht="15">
      <c r="A32" s="7"/>
      <c r="B32" s="9" t="s">
        <v>16</v>
      </c>
      <c r="C32" s="15" t="s">
        <v>17</v>
      </c>
      <c r="D32" s="12"/>
      <c r="E32" s="108"/>
      <c r="F32" s="108"/>
      <c r="G32" s="108"/>
      <c r="H32" s="108"/>
      <c r="I32" s="108"/>
      <c r="J32" s="108"/>
      <c r="K32" s="108"/>
      <c r="L32" s="102"/>
      <c r="M32" s="108"/>
      <c r="N32" s="109"/>
      <c r="O32" s="108"/>
      <c r="P32" s="108"/>
      <c r="Q32" s="79"/>
      <c r="R32" s="108"/>
      <c r="S32" s="108"/>
      <c r="T32" s="108"/>
      <c r="U32" s="223"/>
      <c r="V32" s="224"/>
    </row>
    <row r="33" spans="1:22" ht="14.25">
      <c r="A33" s="7"/>
      <c r="B33" s="9" t="s">
        <v>18</v>
      </c>
      <c r="C33" s="39" t="s">
        <v>19</v>
      </c>
      <c r="D33" s="40"/>
      <c r="E33" s="96">
        <v>2121.89</v>
      </c>
      <c r="F33" s="96">
        <v>2277.78</v>
      </c>
      <c r="G33" s="96">
        <v>2485.06</v>
      </c>
      <c r="H33" s="96">
        <f>F33*1.079</f>
        <v>2457.72462</v>
      </c>
      <c r="I33" s="96">
        <v>2605.18</v>
      </c>
      <c r="J33" s="96">
        <f>K33+M33</f>
        <v>1680.2643985399998</v>
      </c>
      <c r="K33" s="96">
        <f>H33/12*6</f>
        <v>1228.86231</v>
      </c>
      <c r="L33" s="102">
        <v>1.051</v>
      </c>
      <c r="M33" s="96">
        <f>(H33*L33-K33)/6*2</f>
        <v>451.40208853999985</v>
      </c>
      <c r="N33" s="97">
        <f>(H33*L33)-(K33+M33)</f>
        <v>902.8041770799998</v>
      </c>
      <c r="O33" s="98">
        <f>K33+M33+N33</f>
        <v>2583.0685756199996</v>
      </c>
      <c r="P33" s="98"/>
      <c r="Q33" s="174">
        <v>1.17</v>
      </c>
      <c r="R33" s="98">
        <f>S33+T33</f>
        <v>2802.6294045477</v>
      </c>
      <c r="S33" s="98">
        <f>O33/2</f>
        <v>1291.5342878099998</v>
      </c>
      <c r="T33" s="98">
        <f>S33*Q33</f>
        <v>1511.0951167376998</v>
      </c>
      <c r="U33" s="223"/>
      <c r="V33" s="224"/>
    </row>
    <row r="34" spans="1:22" ht="14.25">
      <c r="A34" s="7"/>
      <c r="B34" s="9" t="s">
        <v>188</v>
      </c>
      <c r="C34" s="16" t="s">
        <v>20</v>
      </c>
      <c r="D34" s="3"/>
      <c r="E34" s="99"/>
      <c r="F34" s="99"/>
      <c r="G34" s="99"/>
      <c r="H34" s="99"/>
      <c r="I34" s="99"/>
      <c r="J34" s="99"/>
      <c r="K34" s="99"/>
      <c r="L34" s="102"/>
      <c r="M34" s="79"/>
      <c r="N34" s="100"/>
      <c r="O34" s="95"/>
      <c r="P34" s="95"/>
      <c r="Q34" s="95"/>
      <c r="R34" s="95"/>
      <c r="S34" s="95"/>
      <c r="T34" s="95"/>
      <c r="U34" s="223"/>
      <c r="V34" s="224"/>
    </row>
    <row r="35" spans="1:22" ht="28.5">
      <c r="A35" s="7"/>
      <c r="B35" s="9" t="s">
        <v>189</v>
      </c>
      <c r="C35" s="16" t="s">
        <v>21</v>
      </c>
      <c r="D35" s="3"/>
      <c r="E35" s="99"/>
      <c r="F35" s="99"/>
      <c r="G35" s="99"/>
      <c r="H35" s="99"/>
      <c r="I35" s="99"/>
      <c r="J35" s="99"/>
      <c r="K35" s="99"/>
      <c r="L35" s="102"/>
      <c r="M35" s="79"/>
      <c r="N35" s="100"/>
      <c r="O35" s="95"/>
      <c r="P35" s="95"/>
      <c r="Q35" s="95"/>
      <c r="R35" s="95"/>
      <c r="S35" s="95"/>
      <c r="T35" s="95"/>
      <c r="U35" s="223"/>
      <c r="V35" s="224"/>
    </row>
    <row r="36" spans="1:22" ht="28.5">
      <c r="A36" s="7"/>
      <c r="B36" s="9" t="s">
        <v>22</v>
      </c>
      <c r="C36" s="17" t="s">
        <v>23</v>
      </c>
      <c r="D36" s="3"/>
      <c r="E36" s="110">
        <v>297.06</v>
      </c>
      <c r="F36" s="110">
        <v>318.89</v>
      </c>
      <c r="G36" s="110">
        <v>844.92</v>
      </c>
      <c r="H36" s="110">
        <f>H33*0.34</f>
        <v>835.6263708</v>
      </c>
      <c r="I36" s="110">
        <f>I33*0.342</f>
        <v>890.9715600000001</v>
      </c>
      <c r="J36" s="110">
        <f>K36+M36</f>
        <v>571.2898955036001</v>
      </c>
      <c r="K36" s="110">
        <f>H36/12*6</f>
        <v>417.81318540000007</v>
      </c>
      <c r="L36" s="102">
        <v>1.051</v>
      </c>
      <c r="M36" s="93">
        <f>(H36*L36-K36)/6*2</f>
        <v>153.47671010359997</v>
      </c>
      <c r="N36" s="94">
        <f>(H36*L36)-(K36+M36)</f>
        <v>306.9534202071999</v>
      </c>
      <c r="O36" s="112">
        <f>K36+M36+N36</f>
        <v>878.2433157108</v>
      </c>
      <c r="P36" s="112"/>
      <c r="Q36" s="174">
        <v>0.302</v>
      </c>
      <c r="R36" s="112">
        <f>R33*Q36</f>
        <v>846.3940801734053</v>
      </c>
      <c r="S36" s="98">
        <f>S33*Q36</f>
        <v>390.0433549186199</v>
      </c>
      <c r="T36" s="98">
        <f>T33*Q36</f>
        <v>456.3507252547853</v>
      </c>
      <c r="U36" s="223"/>
      <c r="V36" s="224"/>
    </row>
    <row r="37" spans="1:22" ht="14.25">
      <c r="A37" s="7"/>
      <c r="B37" s="9" t="s">
        <v>24</v>
      </c>
      <c r="C37" s="39" t="s">
        <v>25</v>
      </c>
      <c r="D37" s="40"/>
      <c r="E37" s="111">
        <v>149.15</v>
      </c>
      <c r="F37" s="111">
        <v>252.48</v>
      </c>
      <c r="G37" s="111">
        <v>292.82</v>
      </c>
      <c r="H37" s="96">
        <f>G37</f>
        <v>292.82</v>
      </c>
      <c r="I37" s="96">
        <v>392</v>
      </c>
      <c r="J37" s="96">
        <f>K37+M37</f>
        <v>208.70999999999998</v>
      </c>
      <c r="K37" s="96">
        <f>H37/12*6</f>
        <v>146.41</v>
      </c>
      <c r="L37" s="102">
        <v>1</v>
      </c>
      <c r="M37" s="96">
        <v>62.3</v>
      </c>
      <c r="N37" s="97">
        <v>160</v>
      </c>
      <c r="O37" s="98">
        <f>K37+M37+N37</f>
        <v>368.71</v>
      </c>
      <c r="P37" s="98"/>
      <c r="Q37" s="174">
        <v>1</v>
      </c>
      <c r="R37" s="187">
        <v>392.78</v>
      </c>
      <c r="S37" s="98">
        <f>R37/2</f>
        <v>196.39</v>
      </c>
      <c r="T37" s="98">
        <f>R37-S37</f>
        <v>196.39</v>
      </c>
      <c r="U37" s="223"/>
      <c r="V37" s="224"/>
    </row>
    <row r="38" spans="1:22" ht="14.25">
      <c r="A38" s="7"/>
      <c r="B38" s="9" t="s">
        <v>26</v>
      </c>
      <c r="C38" s="39" t="s">
        <v>27</v>
      </c>
      <c r="D38" s="40"/>
      <c r="E38" s="96"/>
      <c r="F38" s="96"/>
      <c r="G38" s="96"/>
      <c r="H38" s="96"/>
      <c r="I38" s="96"/>
      <c r="J38" s="96"/>
      <c r="K38" s="96"/>
      <c r="L38" s="102"/>
      <c r="M38" s="96"/>
      <c r="N38" s="97"/>
      <c r="O38" s="98"/>
      <c r="P38" s="98"/>
      <c r="Q38" s="174"/>
      <c r="R38" s="98"/>
      <c r="S38" s="98"/>
      <c r="T38" s="98"/>
      <c r="U38" s="223"/>
      <c r="V38" s="224"/>
    </row>
    <row r="39" spans="1:22" ht="14.25">
      <c r="A39" s="7"/>
      <c r="B39" s="9" t="s">
        <v>28</v>
      </c>
      <c r="C39" s="18" t="s">
        <v>29</v>
      </c>
      <c r="D39" s="3"/>
      <c r="E39" s="93"/>
      <c r="F39" s="93"/>
      <c r="G39" s="93"/>
      <c r="H39" s="93"/>
      <c r="I39" s="93"/>
      <c r="J39" s="93"/>
      <c r="K39" s="93"/>
      <c r="L39" s="102"/>
      <c r="M39" s="93"/>
      <c r="N39" s="94"/>
      <c r="O39" s="112"/>
      <c r="P39" s="112"/>
      <c r="Q39" s="174"/>
      <c r="R39" s="112"/>
      <c r="S39" s="112"/>
      <c r="T39" s="112"/>
      <c r="U39" s="223"/>
      <c r="V39" s="224"/>
    </row>
    <row r="40" spans="1:22" ht="14.25">
      <c r="A40" s="7"/>
      <c r="B40" s="9" t="s">
        <v>30</v>
      </c>
      <c r="C40" s="18" t="s">
        <v>31</v>
      </c>
      <c r="D40" s="3"/>
      <c r="E40" s="93"/>
      <c r="F40" s="93"/>
      <c r="G40" s="93"/>
      <c r="H40" s="93"/>
      <c r="I40" s="93"/>
      <c r="J40" s="93"/>
      <c r="K40" s="93"/>
      <c r="L40" s="102"/>
      <c r="M40" s="93"/>
      <c r="N40" s="94"/>
      <c r="O40" s="112"/>
      <c r="P40" s="112"/>
      <c r="Q40" s="174"/>
      <c r="R40" s="112"/>
      <c r="S40" s="112"/>
      <c r="T40" s="112"/>
      <c r="U40" s="223"/>
      <c r="V40" s="224"/>
    </row>
    <row r="41" spans="1:22" ht="14.25">
      <c r="A41" s="7"/>
      <c r="B41" s="9" t="s">
        <v>122</v>
      </c>
      <c r="C41" s="18" t="s">
        <v>123</v>
      </c>
      <c r="D41" s="3"/>
      <c r="E41" s="93"/>
      <c r="F41" s="93"/>
      <c r="G41" s="93"/>
      <c r="H41" s="93"/>
      <c r="I41" s="93"/>
      <c r="J41" s="93"/>
      <c r="K41" s="93"/>
      <c r="L41" s="102"/>
      <c r="M41" s="93"/>
      <c r="N41" s="94"/>
      <c r="O41" s="112"/>
      <c r="P41" s="112"/>
      <c r="Q41" s="174"/>
      <c r="R41" s="112"/>
      <c r="S41" s="112"/>
      <c r="T41" s="112"/>
      <c r="U41" s="223"/>
      <c r="V41" s="224"/>
    </row>
    <row r="42" spans="1:22" ht="14.25">
      <c r="A42" s="7"/>
      <c r="B42" s="9" t="s">
        <v>32</v>
      </c>
      <c r="C42" s="39" t="s">
        <v>33</v>
      </c>
      <c r="D42" s="40"/>
      <c r="E42" s="111">
        <v>293.24</v>
      </c>
      <c r="F42" s="111">
        <v>541.59</v>
      </c>
      <c r="G42" s="111">
        <v>456.73</v>
      </c>
      <c r="H42" s="111">
        <f>G42</f>
        <v>456.73</v>
      </c>
      <c r="I42" s="96">
        <v>493.27</v>
      </c>
      <c r="J42" s="96">
        <f>I42</f>
        <v>493.27</v>
      </c>
      <c r="K42" s="96">
        <f>H42/12*6</f>
        <v>228.365</v>
      </c>
      <c r="L42" s="144">
        <v>1.03</v>
      </c>
      <c r="M42" s="96">
        <f>(H42*L42-K42)/6*2</f>
        <v>80.68896666666667</v>
      </c>
      <c r="N42" s="97">
        <f>(H42*L42)-(K42+M42)+22.84</f>
        <v>184.21793333333338</v>
      </c>
      <c r="O42" s="98">
        <f>K42+M42+N42</f>
        <v>493.2719000000001</v>
      </c>
      <c r="P42" s="98"/>
      <c r="Q42" s="174">
        <v>1.049</v>
      </c>
      <c r="R42" s="189">
        <v>500</v>
      </c>
      <c r="S42" s="178">
        <v>351.7240383444753</v>
      </c>
      <c r="T42" s="98">
        <f>R42-S42</f>
        <v>148.27596165552472</v>
      </c>
      <c r="U42" s="223"/>
      <c r="V42" s="224"/>
    </row>
    <row r="43" spans="1:22" ht="14.25">
      <c r="A43" s="7"/>
      <c r="B43" s="9" t="s">
        <v>34</v>
      </c>
      <c r="C43" s="18" t="s">
        <v>35</v>
      </c>
      <c r="D43" s="3"/>
      <c r="E43" s="93"/>
      <c r="F43" s="93"/>
      <c r="G43" s="93"/>
      <c r="H43" s="93"/>
      <c r="I43" s="93"/>
      <c r="J43" s="93"/>
      <c r="K43" s="93"/>
      <c r="L43" s="102"/>
      <c r="M43" s="93"/>
      <c r="N43" s="94"/>
      <c r="O43" s="93"/>
      <c r="P43" s="93"/>
      <c r="Q43" s="175"/>
      <c r="R43" s="93"/>
      <c r="S43" s="93"/>
      <c r="T43" s="93"/>
      <c r="U43" s="223"/>
      <c r="V43" s="224"/>
    </row>
    <row r="44" spans="1:22" ht="14.25">
      <c r="A44" s="7"/>
      <c r="B44" s="9" t="s">
        <v>36</v>
      </c>
      <c r="C44" s="18" t="s">
        <v>165</v>
      </c>
      <c r="D44" s="3"/>
      <c r="E44" s="93"/>
      <c r="F44" s="93"/>
      <c r="G44" s="93"/>
      <c r="H44" s="93"/>
      <c r="I44" s="93"/>
      <c r="J44" s="93"/>
      <c r="K44" s="93"/>
      <c r="L44" s="102"/>
      <c r="M44" s="93"/>
      <c r="N44" s="94"/>
      <c r="O44" s="93"/>
      <c r="P44" s="93"/>
      <c r="Q44" s="175"/>
      <c r="R44" s="93"/>
      <c r="S44" s="93"/>
      <c r="T44" s="93"/>
      <c r="U44" s="223"/>
      <c r="V44" s="224"/>
    </row>
    <row r="45" spans="1:22" ht="14.25">
      <c r="A45" s="7"/>
      <c r="B45" s="9" t="s">
        <v>37</v>
      </c>
      <c r="C45" s="19" t="s">
        <v>38</v>
      </c>
      <c r="D45" s="3"/>
      <c r="E45" s="99"/>
      <c r="F45" s="99"/>
      <c r="G45" s="99"/>
      <c r="H45" s="99"/>
      <c r="I45" s="99"/>
      <c r="J45" s="99"/>
      <c r="K45" s="99"/>
      <c r="L45" s="102"/>
      <c r="M45" s="113"/>
      <c r="N45" s="113"/>
      <c r="O45" s="113"/>
      <c r="P45" s="113"/>
      <c r="Q45" s="174"/>
      <c r="R45" s="113"/>
      <c r="S45" s="113"/>
      <c r="T45" s="113"/>
      <c r="U45" s="223"/>
      <c r="V45" s="224"/>
    </row>
    <row r="46" spans="1:22" ht="14.25">
      <c r="A46" s="7"/>
      <c r="B46" s="9" t="s">
        <v>174</v>
      </c>
      <c r="C46" s="19" t="s">
        <v>39</v>
      </c>
      <c r="D46" s="3"/>
      <c r="E46" s="99"/>
      <c r="F46" s="99"/>
      <c r="G46" s="99"/>
      <c r="H46" s="99"/>
      <c r="I46" s="99"/>
      <c r="J46" s="99"/>
      <c r="K46" s="99"/>
      <c r="L46" s="102"/>
      <c r="M46" s="114"/>
      <c r="N46" s="114"/>
      <c r="O46" s="114"/>
      <c r="P46" s="114"/>
      <c r="Q46" s="176"/>
      <c r="R46" s="114"/>
      <c r="S46" s="114"/>
      <c r="T46" s="114"/>
      <c r="U46" s="223"/>
      <c r="V46" s="224"/>
    </row>
    <row r="47" spans="1:22" ht="28.5">
      <c r="A47" s="7"/>
      <c r="B47" s="9" t="s">
        <v>40</v>
      </c>
      <c r="C47" s="18" t="s">
        <v>41</v>
      </c>
      <c r="D47" s="3"/>
      <c r="E47" s="93"/>
      <c r="F47" s="93"/>
      <c r="G47" s="93"/>
      <c r="H47" s="93"/>
      <c r="I47" s="93"/>
      <c r="J47" s="93"/>
      <c r="K47" s="93"/>
      <c r="L47" s="102"/>
      <c r="M47" s="93"/>
      <c r="N47" s="94"/>
      <c r="O47" s="93"/>
      <c r="P47" s="93"/>
      <c r="Q47" s="175"/>
      <c r="R47" s="93"/>
      <c r="S47" s="93"/>
      <c r="T47" s="93"/>
      <c r="U47" s="223"/>
      <c r="V47" s="224"/>
    </row>
    <row r="48" spans="1:22" ht="28.5" customHeight="1" hidden="1">
      <c r="A48" s="7"/>
      <c r="B48" s="9" t="s">
        <v>42</v>
      </c>
      <c r="C48" s="17" t="s">
        <v>43</v>
      </c>
      <c r="D48" s="3"/>
      <c r="E48" s="108"/>
      <c r="F48" s="108"/>
      <c r="G48" s="108"/>
      <c r="H48" s="108"/>
      <c r="I48" s="108"/>
      <c r="J48" s="108"/>
      <c r="K48" s="108"/>
      <c r="L48" s="102"/>
      <c r="M48" s="93"/>
      <c r="N48" s="94"/>
      <c r="O48" s="95"/>
      <c r="P48" s="95"/>
      <c r="Q48" s="174"/>
      <c r="R48" s="95"/>
      <c r="S48" s="95"/>
      <c r="T48" s="95"/>
      <c r="U48" s="223"/>
      <c r="V48" s="224"/>
    </row>
    <row r="49" spans="1:22" ht="28.5" customHeight="1" hidden="1">
      <c r="A49" s="7"/>
      <c r="B49" s="9" t="s">
        <v>44</v>
      </c>
      <c r="C49" s="17" t="s">
        <v>45</v>
      </c>
      <c r="D49" s="3"/>
      <c r="E49" s="108"/>
      <c r="F49" s="108"/>
      <c r="G49" s="108"/>
      <c r="H49" s="108"/>
      <c r="I49" s="108"/>
      <c r="J49" s="108"/>
      <c r="K49" s="108"/>
      <c r="L49" s="102"/>
      <c r="M49" s="93"/>
      <c r="N49" s="94"/>
      <c r="O49" s="95"/>
      <c r="P49" s="95"/>
      <c r="Q49" s="174"/>
      <c r="R49" s="95"/>
      <c r="S49" s="95"/>
      <c r="T49" s="95"/>
      <c r="U49" s="223"/>
      <c r="V49" s="224"/>
    </row>
    <row r="50" spans="1:22" ht="28.5" customHeight="1" hidden="1">
      <c r="A50" s="7"/>
      <c r="B50" s="9" t="s">
        <v>46</v>
      </c>
      <c r="C50" s="17" t="s">
        <v>47</v>
      </c>
      <c r="D50" s="3"/>
      <c r="E50" s="108"/>
      <c r="F50" s="108"/>
      <c r="G50" s="108"/>
      <c r="H50" s="108"/>
      <c r="I50" s="108"/>
      <c r="J50" s="108"/>
      <c r="K50" s="108"/>
      <c r="L50" s="102"/>
      <c r="M50" s="93"/>
      <c r="N50" s="94"/>
      <c r="O50" s="95"/>
      <c r="P50" s="95"/>
      <c r="Q50" s="174"/>
      <c r="R50" s="95"/>
      <c r="S50" s="95"/>
      <c r="T50" s="95"/>
      <c r="U50" s="223"/>
      <c r="V50" s="224"/>
    </row>
    <row r="51" spans="1:22" ht="14.25">
      <c r="A51" s="7"/>
      <c r="B51" s="9" t="s">
        <v>48</v>
      </c>
      <c r="C51" s="10" t="s">
        <v>49</v>
      </c>
      <c r="D51" s="3"/>
      <c r="E51" s="108"/>
      <c r="F51" s="108"/>
      <c r="G51" s="108"/>
      <c r="H51" s="108"/>
      <c r="I51" s="108"/>
      <c r="J51" s="108"/>
      <c r="K51" s="108"/>
      <c r="L51" s="102"/>
      <c r="M51" s="108"/>
      <c r="N51" s="108"/>
      <c r="O51" s="108"/>
      <c r="P51" s="108"/>
      <c r="Q51" s="175"/>
      <c r="R51" s="108"/>
      <c r="S51" s="108"/>
      <c r="T51" s="108"/>
      <c r="U51" s="223"/>
      <c r="V51" s="224"/>
    </row>
    <row r="52" spans="1:22" ht="14.25">
      <c r="A52" s="7"/>
      <c r="B52" s="9" t="s">
        <v>50</v>
      </c>
      <c r="C52" s="20" t="s">
        <v>51</v>
      </c>
      <c r="D52" s="3"/>
      <c r="E52" s="108"/>
      <c r="F52" s="108"/>
      <c r="G52" s="108"/>
      <c r="H52" s="108"/>
      <c r="I52" s="108"/>
      <c r="J52" s="108"/>
      <c r="K52" s="108"/>
      <c r="L52" s="102"/>
      <c r="M52" s="108"/>
      <c r="N52" s="108"/>
      <c r="O52" s="108"/>
      <c r="P52" s="108"/>
      <c r="Q52" s="175"/>
      <c r="R52" s="108"/>
      <c r="S52" s="108"/>
      <c r="T52" s="108"/>
      <c r="U52" s="223"/>
      <c r="V52" s="224"/>
    </row>
    <row r="53" spans="1:22" ht="14.25">
      <c r="A53" s="7"/>
      <c r="B53" s="9" t="s">
        <v>52</v>
      </c>
      <c r="C53" s="20" t="s">
        <v>53</v>
      </c>
      <c r="D53" s="3"/>
      <c r="E53" s="108"/>
      <c r="F53" s="108"/>
      <c r="G53" s="108"/>
      <c r="H53" s="108"/>
      <c r="I53" s="108"/>
      <c r="J53" s="108"/>
      <c r="K53" s="108"/>
      <c r="L53" s="102"/>
      <c r="M53" s="108"/>
      <c r="N53" s="108"/>
      <c r="O53" s="108"/>
      <c r="P53" s="108"/>
      <c r="Q53" s="175"/>
      <c r="R53" s="108"/>
      <c r="S53" s="108"/>
      <c r="T53" s="108"/>
      <c r="U53" s="223"/>
      <c r="V53" s="224"/>
    </row>
    <row r="54" spans="1:22" ht="14.25">
      <c r="A54" s="7"/>
      <c r="B54" s="9" t="s">
        <v>54</v>
      </c>
      <c r="C54" s="20" t="s">
        <v>55</v>
      </c>
      <c r="D54" s="3"/>
      <c r="E54" s="108"/>
      <c r="F54" s="108"/>
      <c r="G54" s="108"/>
      <c r="H54" s="108"/>
      <c r="I54" s="108"/>
      <c r="J54" s="108"/>
      <c r="K54" s="108"/>
      <c r="L54" s="102"/>
      <c r="M54" s="108"/>
      <c r="N54" s="108"/>
      <c r="O54" s="108"/>
      <c r="P54" s="108"/>
      <c r="Q54" s="175"/>
      <c r="R54" s="108"/>
      <c r="S54" s="108"/>
      <c r="T54" s="108"/>
      <c r="U54" s="223"/>
      <c r="V54" s="224"/>
    </row>
    <row r="55" spans="1:22" ht="14.25">
      <c r="A55" s="7"/>
      <c r="B55" s="9" t="s">
        <v>56</v>
      </c>
      <c r="C55" s="41" t="s">
        <v>57</v>
      </c>
      <c r="D55" s="40"/>
      <c r="E55" s="96"/>
      <c r="F55" s="96"/>
      <c r="G55" s="96"/>
      <c r="H55" s="96"/>
      <c r="I55" s="96"/>
      <c r="J55" s="96"/>
      <c r="K55" s="96"/>
      <c r="L55" s="102"/>
      <c r="M55" s="96"/>
      <c r="N55" s="96"/>
      <c r="O55" s="96"/>
      <c r="P55" s="96"/>
      <c r="Q55" s="175"/>
      <c r="R55" s="96"/>
      <c r="S55" s="96"/>
      <c r="T55" s="96"/>
      <c r="U55" s="223"/>
      <c r="V55" s="224"/>
    </row>
    <row r="56" spans="1:22" ht="14.25">
      <c r="A56" s="7"/>
      <c r="B56" s="9" t="s">
        <v>58</v>
      </c>
      <c r="C56" s="41" t="s">
        <v>59</v>
      </c>
      <c r="D56" s="40"/>
      <c r="E56" s="96"/>
      <c r="F56" s="96"/>
      <c r="G56" s="96"/>
      <c r="H56" s="96"/>
      <c r="I56" s="96"/>
      <c r="J56" s="96"/>
      <c r="K56" s="96"/>
      <c r="L56" s="102"/>
      <c r="M56" s="96"/>
      <c r="N56" s="96"/>
      <c r="O56" s="96"/>
      <c r="P56" s="96"/>
      <c r="Q56" s="79"/>
      <c r="R56" s="96"/>
      <c r="S56" s="96"/>
      <c r="T56" s="96"/>
      <c r="U56" s="223"/>
      <c r="V56" s="224"/>
    </row>
    <row r="57" spans="1:22" ht="28.5">
      <c r="A57" s="7"/>
      <c r="B57" s="9" t="s">
        <v>60</v>
      </c>
      <c r="C57" s="18" t="s">
        <v>61</v>
      </c>
      <c r="D57" s="3"/>
      <c r="E57" s="115"/>
      <c r="F57" s="115"/>
      <c r="G57" s="115"/>
      <c r="H57" s="115"/>
      <c r="I57" s="115"/>
      <c r="J57" s="115"/>
      <c r="K57" s="115"/>
      <c r="L57" s="102"/>
      <c r="M57" s="116"/>
      <c r="N57" s="117"/>
      <c r="O57" s="95"/>
      <c r="P57" s="95"/>
      <c r="Q57" s="95"/>
      <c r="R57" s="95"/>
      <c r="S57" s="95"/>
      <c r="T57" s="95"/>
      <c r="U57" s="223"/>
      <c r="V57" s="224"/>
    </row>
    <row r="58" spans="1:22" ht="14.25">
      <c r="A58" s="7"/>
      <c r="B58" s="9" t="s">
        <v>62</v>
      </c>
      <c r="C58" s="39" t="s">
        <v>63</v>
      </c>
      <c r="D58" s="40"/>
      <c r="E58" s="118">
        <f>E59+E62+E63+E65+E66</f>
        <v>553.1600000000001</v>
      </c>
      <c r="F58" s="118">
        <f>F59+F62+F63+F65+F66</f>
        <v>722.72</v>
      </c>
      <c r="G58" s="118">
        <f>G59+G62+G63+G65+G66</f>
        <v>804.3900000000001</v>
      </c>
      <c r="H58" s="118">
        <f>H59+H62+H63+H65+H66</f>
        <v>799.94029</v>
      </c>
      <c r="I58" s="118">
        <v>855.94</v>
      </c>
      <c r="J58" s="118">
        <f>J59+J62+J63+J65+J66</f>
        <v>273.51535393</v>
      </c>
      <c r="K58" s="118">
        <f>K59+K62+K63+K65+K66</f>
        <v>400.2684885</v>
      </c>
      <c r="L58" s="102"/>
      <c r="M58" s="118">
        <f>M59+M62+M63+M65+M66</f>
        <v>151.32686543</v>
      </c>
      <c r="N58" s="118">
        <f>N59+N62+N63+N65+N66</f>
        <v>280.73853085999997</v>
      </c>
      <c r="O58" s="118">
        <f>O59+O62+O63+O65+O66</f>
        <v>832.33388479</v>
      </c>
      <c r="P58" s="118"/>
      <c r="Q58" s="116"/>
      <c r="R58" s="118">
        <f>R59+R62+R63+R65+R66+R64</f>
        <v>850.7902938643949</v>
      </c>
      <c r="S58" s="118">
        <f>S59+S62+S63+S65+S66+S64</f>
        <v>363.82380599482445</v>
      </c>
      <c r="T58" s="118">
        <f>T59+T62+T63+T65+T66+T64</f>
        <v>486.9664878695704</v>
      </c>
      <c r="U58" s="223"/>
      <c r="V58" s="224"/>
    </row>
    <row r="59" spans="1:22" ht="14.25">
      <c r="A59" s="7"/>
      <c r="B59" s="9" t="s">
        <v>64</v>
      </c>
      <c r="C59" s="10" t="s">
        <v>65</v>
      </c>
      <c r="D59" s="3"/>
      <c r="E59" s="118">
        <v>276.5</v>
      </c>
      <c r="F59" s="118">
        <v>276.5</v>
      </c>
      <c r="G59" s="118">
        <v>301.66</v>
      </c>
      <c r="H59" s="118">
        <f>F59*1.079</f>
        <v>298.3435</v>
      </c>
      <c r="I59" s="118">
        <f>(I60*I61*12)/1000</f>
        <v>0</v>
      </c>
      <c r="J59" s="118">
        <f>K59+M59</f>
        <v>203.96750616666665</v>
      </c>
      <c r="K59" s="118">
        <f>H59/12*6</f>
        <v>149.17175</v>
      </c>
      <c r="L59" s="102">
        <v>1.051</v>
      </c>
      <c r="M59" s="96">
        <f>(H59*L59-K59)/6*2</f>
        <v>54.795756166666656</v>
      </c>
      <c r="N59" s="97">
        <f>(H59*L59)-(K59+M59)</f>
        <v>109.59151233333333</v>
      </c>
      <c r="O59" s="112">
        <f>K59+M59+N59</f>
        <v>313.5590185</v>
      </c>
      <c r="P59" s="112"/>
      <c r="Q59" s="174">
        <v>1.17</v>
      </c>
      <c r="R59" s="112">
        <f>S59+T59</f>
        <v>340.21153507249994</v>
      </c>
      <c r="S59" s="112">
        <f>O59/2</f>
        <v>156.77950925</v>
      </c>
      <c r="T59" s="112">
        <f>S59*Q59</f>
        <v>183.43202582249998</v>
      </c>
      <c r="U59" s="223"/>
      <c r="V59" s="224"/>
    </row>
    <row r="60" spans="1:22" ht="28.5">
      <c r="A60" s="7"/>
      <c r="B60" s="9" t="s">
        <v>66</v>
      </c>
      <c r="C60" s="19" t="s">
        <v>38</v>
      </c>
      <c r="D60" s="3"/>
      <c r="E60" s="99"/>
      <c r="F60" s="99"/>
      <c r="G60" s="99"/>
      <c r="H60" s="99"/>
      <c r="I60" s="99"/>
      <c r="J60" s="99"/>
      <c r="K60" s="119"/>
      <c r="L60" s="119"/>
      <c r="M60" s="119"/>
      <c r="N60" s="119"/>
      <c r="O60" s="119"/>
      <c r="P60" s="119"/>
      <c r="Q60" s="166"/>
      <c r="R60" s="119"/>
      <c r="S60" s="119"/>
      <c r="T60" s="119"/>
      <c r="U60" s="223"/>
      <c r="V60" s="224"/>
    </row>
    <row r="61" spans="1:22" ht="42.75">
      <c r="A61" s="7"/>
      <c r="B61" s="9" t="s">
        <v>173</v>
      </c>
      <c r="C61" s="19" t="s">
        <v>39</v>
      </c>
      <c r="D61" s="3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87"/>
      <c r="R61" s="99"/>
      <c r="S61" s="99"/>
      <c r="T61" s="99"/>
      <c r="U61" s="223"/>
      <c r="V61" s="224"/>
    </row>
    <row r="62" spans="1:22" ht="14.25">
      <c r="A62" s="7"/>
      <c r="B62" s="9" t="s">
        <v>66</v>
      </c>
      <c r="C62" s="22" t="s">
        <v>161</v>
      </c>
      <c r="D62" s="3"/>
      <c r="E62" s="93"/>
      <c r="F62" s="93"/>
      <c r="G62" s="93"/>
      <c r="H62" s="110"/>
      <c r="I62" s="93"/>
      <c r="J62" s="110"/>
      <c r="K62" s="110"/>
      <c r="L62" s="102"/>
      <c r="M62" s="93"/>
      <c r="N62" s="94"/>
      <c r="O62" s="112"/>
      <c r="P62" s="112"/>
      <c r="Q62" s="113"/>
      <c r="R62" s="112">
        <v>45.96</v>
      </c>
      <c r="S62" s="180">
        <f>R62/2</f>
        <v>22.98</v>
      </c>
      <c r="T62" s="112">
        <f>R62-S62</f>
        <v>22.98</v>
      </c>
      <c r="U62" s="223"/>
      <c r="V62" s="224"/>
    </row>
    <row r="63" spans="1:22" ht="21" customHeight="1">
      <c r="A63" s="7"/>
      <c r="B63" s="9" t="s">
        <v>173</v>
      </c>
      <c r="C63" s="19" t="s">
        <v>166</v>
      </c>
      <c r="D63" s="3"/>
      <c r="E63" s="110">
        <v>237.95</v>
      </c>
      <c r="F63" s="110">
        <v>407.51</v>
      </c>
      <c r="G63" s="110">
        <v>400.16</v>
      </c>
      <c r="H63" s="110">
        <f>G63</f>
        <v>400.16</v>
      </c>
      <c r="I63" s="110">
        <v>0</v>
      </c>
      <c r="J63" s="110">
        <f>I63</f>
        <v>0</v>
      </c>
      <c r="K63" s="110">
        <f>H63/12*6</f>
        <v>200.08000000000004</v>
      </c>
      <c r="L63" s="102">
        <v>1.03</v>
      </c>
      <c r="M63" s="93">
        <v>78</v>
      </c>
      <c r="N63" s="94">
        <f>(H63*L63)-(K63+M63)</f>
        <v>134.08479999999997</v>
      </c>
      <c r="O63" s="112">
        <f>K63+M63+N63</f>
        <v>412.1648</v>
      </c>
      <c r="P63" s="112"/>
      <c r="Q63" s="174">
        <v>1.049</v>
      </c>
      <c r="R63" s="112">
        <f>O63*Q63-R62-R64-R65-R76</f>
        <v>219.5978752</v>
      </c>
      <c r="S63" s="112">
        <v>65.57838495132451</v>
      </c>
      <c r="T63" s="112">
        <f>R63-S63</f>
        <v>154.01949024867548</v>
      </c>
      <c r="U63" s="223"/>
      <c r="V63" s="224"/>
    </row>
    <row r="64" spans="1:22" ht="21" customHeight="1">
      <c r="A64" s="7"/>
      <c r="B64" s="9"/>
      <c r="C64" s="19" t="s">
        <v>196</v>
      </c>
      <c r="D64" s="3"/>
      <c r="E64" s="110"/>
      <c r="F64" s="110"/>
      <c r="G64" s="110"/>
      <c r="H64" s="110"/>
      <c r="I64" s="110"/>
      <c r="J64" s="110"/>
      <c r="K64" s="110"/>
      <c r="L64" s="102"/>
      <c r="M64" s="93"/>
      <c r="N64" s="94"/>
      <c r="O64" s="112"/>
      <c r="P64" s="112"/>
      <c r="Q64" s="174"/>
      <c r="R64" s="112">
        <v>49.617</v>
      </c>
      <c r="S64" s="112">
        <f>R64/2</f>
        <v>24.8085</v>
      </c>
      <c r="T64" s="112">
        <f>R64-S64</f>
        <v>24.8085</v>
      </c>
      <c r="U64" s="223"/>
      <c r="V64" s="224"/>
    </row>
    <row r="65" spans="1:22" ht="14.25">
      <c r="A65" s="7"/>
      <c r="B65" s="9" t="s">
        <v>190</v>
      </c>
      <c r="C65" s="19" t="s">
        <v>167</v>
      </c>
      <c r="D65" s="3"/>
      <c r="E65" s="110"/>
      <c r="F65" s="110"/>
      <c r="G65" s="110"/>
      <c r="H65" s="110"/>
      <c r="I65" s="110"/>
      <c r="J65" s="110"/>
      <c r="K65" s="110"/>
      <c r="L65" s="102"/>
      <c r="M65" s="93"/>
      <c r="N65" s="94"/>
      <c r="O65" s="112"/>
      <c r="P65" s="112"/>
      <c r="Q65" s="113"/>
      <c r="R65" s="112">
        <v>92.66</v>
      </c>
      <c r="S65" s="112">
        <f>R65/2</f>
        <v>46.33</v>
      </c>
      <c r="T65" s="112">
        <f>R65-S65</f>
        <v>46.33</v>
      </c>
      <c r="U65" s="223"/>
      <c r="V65" s="224"/>
    </row>
    <row r="66" spans="1:22" ht="28.5">
      <c r="A66" s="7"/>
      <c r="B66" s="9" t="s">
        <v>67</v>
      </c>
      <c r="C66" s="17" t="s">
        <v>68</v>
      </c>
      <c r="D66" s="3"/>
      <c r="E66" s="110">
        <v>38.71</v>
      </c>
      <c r="F66" s="110">
        <v>38.71</v>
      </c>
      <c r="G66" s="110">
        <v>102.57</v>
      </c>
      <c r="H66" s="110">
        <f>H59*0.34</f>
        <v>101.43679000000002</v>
      </c>
      <c r="I66" s="110">
        <f>I59*0.342</f>
        <v>0</v>
      </c>
      <c r="J66" s="110">
        <f>K66+M66</f>
        <v>69.54784776333334</v>
      </c>
      <c r="K66" s="110">
        <f>K59*0.342</f>
        <v>51.0167385</v>
      </c>
      <c r="L66" s="102">
        <v>1.051</v>
      </c>
      <c r="M66" s="93">
        <f>(H66*L66-K66)/6*2</f>
        <v>18.531109263333335</v>
      </c>
      <c r="N66" s="94">
        <f>(H66*L66)-(K66+M66)</f>
        <v>37.06221852666667</v>
      </c>
      <c r="O66" s="112">
        <f>K66+M66+N66</f>
        <v>106.61006629</v>
      </c>
      <c r="P66" s="112"/>
      <c r="Q66" s="174">
        <v>0.302</v>
      </c>
      <c r="R66" s="112">
        <f>R59*Q66</f>
        <v>102.74388359189498</v>
      </c>
      <c r="S66" s="112">
        <f>S59*Q66</f>
        <v>47.347411793499994</v>
      </c>
      <c r="T66" s="112">
        <f>T59*Q66</f>
        <v>55.39647179839499</v>
      </c>
      <c r="U66" s="223"/>
      <c r="V66" s="224"/>
    </row>
    <row r="67" spans="1:22" ht="14.25">
      <c r="A67" s="7"/>
      <c r="B67" s="9" t="s">
        <v>69</v>
      </c>
      <c r="C67" s="39" t="s">
        <v>70</v>
      </c>
      <c r="D67" s="40"/>
      <c r="E67" s="120">
        <v>6.76</v>
      </c>
      <c r="F67" s="120">
        <v>6.76</v>
      </c>
      <c r="G67" s="120">
        <v>9.16</v>
      </c>
      <c r="H67" s="118">
        <f>G67</f>
        <v>9.16</v>
      </c>
      <c r="I67" s="118">
        <v>9.62</v>
      </c>
      <c r="J67" s="118">
        <v>9.62</v>
      </c>
      <c r="K67" s="118">
        <f>H67/12*6</f>
        <v>4.58</v>
      </c>
      <c r="L67" s="102">
        <v>1.03</v>
      </c>
      <c r="M67" s="96">
        <v>4.5</v>
      </c>
      <c r="N67" s="97">
        <v>0.54</v>
      </c>
      <c r="O67" s="98">
        <f>K67+M67+N67</f>
        <v>9.620000000000001</v>
      </c>
      <c r="P67" s="98"/>
      <c r="Q67" s="174">
        <v>1.049</v>
      </c>
      <c r="R67" s="98">
        <f>S67+T67</f>
        <v>9.855690000000001</v>
      </c>
      <c r="S67" s="98">
        <f>O67/2</f>
        <v>4.8100000000000005</v>
      </c>
      <c r="T67" s="98">
        <f>S67*Q67</f>
        <v>5.0456900000000005</v>
      </c>
      <c r="U67" s="223"/>
      <c r="V67" s="224"/>
    </row>
    <row r="68" spans="1:22" ht="14.25">
      <c r="A68" s="7"/>
      <c r="B68" s="9" t="s">
        <v>71</v>
      </c>
      <c r="C68" s="42" t="s">
        <v>163</v>
      </c>
      <c r="D68" s="40"/>
      <c r="E68" s="118">
        <f aca="true" t="shared" si="2" ref="E68:O68">E69+E73</f>
        <v>629.95</v>
      </c>
      <c r="F68" s="118">
        <f t="shared" si="2"/>
        <v>745.27</v>
      </c>
      <c r="G68" s="118">
        <f t="shared" si="2"/>
        <v>787.71</v>
      </c>
      <c r="H68" s="118">
        <f t="shared" si="2"/>
        <v>455.85</v>
      </c>
      <c r="I68" s="118">
        <f t="shared" si="2"/>
        <v>487.23</v>
      </c>
      <c r="J68" s="118">
        <f t="shared" si="2"/>
        <v>377.16722492586666</v>
      </c>
      <c r="K68" s="118">
        <f t="shared" si="2"/>
        <v>227.92500000000004</v>
      </c>
      <c r="L68" s="145"/>
      <c r="M68" s="118">
        <f t="shared" si="2"/>
        <v>83.72444999999999</v>
      </c>
      <c r="N68" s="118">
        <f t="shared" si="2"/>
        <v>167.4489</v>
      </c>
      <c r="O68" s="118">
        <f t="shared" si="2"/>
        <v>479.09835</v>
      </c>
      <c r="P68" s="118"/>
      <c r="Q68" s="175"/>
      <c r="R68" s="118">
        <f>R69+R73</f>
        <v>499.5071505468911</v>
      </c>
      <c r="S68" s="118">
        <f>S69+S73</f>
        <v>235.41396093208</v>
      </c>
      <c r="T68" s="118">
        <f>T69+T73</f>
        <v>264.0931896148112</v>
      </c>
      <c r="U68" s="223"/>
      <c r="V68" s="224"/>
    </row>
    <row r="69" spans="1:22" ht="14.25">
      <c r="A69" s="7"/>
      <c r="B69" s="9" t="s">
        <v>72</v>
      </c>
      <c r="C69" s="39" t="s">
        <v>73</v>
      </c>
      <c r="D69" s="40"/>
      <c r="E69" s="118">
        <f aca="true" t="shared" si="3" ref="E69:K69">E70+E71+E72</f>
        <v>218.79</v>
      </c>
      <c r="F69" s="118">
        <f t="shared" si="3"/>
        <v>218.79</v>
      </c>
      <c r="G69" s="118">
        <f t="shared" si="3"/>
        <v>280.57</v>
      </c>
      <c r="H69" s="118">
        <f t="shared" si="3"/>
        <v>277.48945119999996</v>
      </c>
      <c r="I69" s="118">
        <f t="shared" si="3"/>
        <v>294.6</v>
      </c>
      <c r="J69" s="118">
        <f t="shared" si="3"/>
        <v>189.71028813706664</v>
      </c>
      <c r="K69" s="118">
        <f t="shared" si="3"/>
        <v>138.7447256</v>
      </c>
      <c r="L69" s="145"/>
      <c r="M69" s="118">
        <f>M70+M71+M72</f>
        <v>50.965562537066646</v>
      </c>
      <c r="N69" s="118">
        <f>N70+N71+N72</f>
        <v>101.93112507413332</v>
      </c>
      <c r="O69" s="118">
        <f>O70+O71+O72</f>
        <v>291.64141321119996</v>
      </c>
      <c r="P69" s="118"/>
      <c r="Q69" s="175"/>
      <c r="R69" s="118">
        <f>R70+R71+R72</f>
        <v>307.4575188067655</v>
      </c>
      <c r="S69" s="118">
        <f>S70+S71+S72</f>
        <v>141.68549253767998</v>
      </c>
      <c r="T69" s="118">
        <f>T70+T71+T72</f>
        <v>165.77202626908556</v>
      </c>
      <c r="U69" s="223"/>
      <c r="V69" s="224"/>
    </row>
    <row r="70" spans="1:22" ht="28.5">
      <c r="A70" s="7"/>
      <c r="B70" s="9" t="s">
        <v>74</v>
      </c>
      <c r="C70" s="10" t="s">
        <v>75</v>
      </c>
      <c r="D70" s="3"/>
      <c r="E70" s="110">
        <v>191.92</v>
      </c>
      <c r="F70" s="110">
        <v>191.92</v>
      </c>
      <c r="G70" s="110">
        <v>209.38</v>
      </c>
      <c r="H70" s="110">
        <f>F70*1.079</f>
        <v>207.08167999999998</v>
      </c>
      <c r="I70" s="110">
        <v>219.5</v>
      </c>
      <c r="J70" s="110">
        <f>K70+M70</f>
        <v>141.5748418933333</v>
      </c>
      <c r="K70" s="110">
        <f>H70/12*6</f>
        <v>103.54084</v>
      </c>
      <c r="L70" s="102">
        <v>1.051</v>
      </c>
      <c r="M70" s="93">
        <f>(H70*L70-K70)/6*2</f>
        <v>38.03400189333332</v>
      </c>
      <c r="N70" s="94">
        <f>(H70*L70)-(K70+M70)</f>
        <v>76.06800378666665</v>
      </c>
      <c r="O70" s="112">
        <f>K70+M70+N70</f>
        <v>217.64284567999997</v>
      </c>
      <c r="P70" s="112"/>
      <c r="Q70" s="174">
        <v>1.17</v>
      </c>
      <c r="R70" s="112">
        <f>S70+T70</f>
        <v>236.14248756279994</v>
      </c>
      <c r="S70" s="112">
        <f>O70/2</f>
        <v>108.82142283999998</v>
      </c>
      <c r="T70" s="112">
        <f>S70*Q70</f>
        <v>127.32106472279997</v>
      </c>
      <c r="U70" s="223"/>
      <c r="V70" s="224"/>
    </row>
    <row r="71" spans="1:22" ht="28.5">
      <c r="A71" s="7"/>
      <c r="B71" s="9" t="s">
        <v>124</v>
      </c>
      <c r="C71" s="10" t="s">
        <v>77</v>
      </c>
      <c r="D71" s="3"/>
      <c r="E71" s="93">
        <v>26.87</v>
      </c>
      <c r="F71" s="93">
        <v>26.87</v>
      </c>
      <c r="G71" s="93">
        <v>71.19</v>
      </c>
      <c r="H71" s="93">
        <f>H70*0.34</f>
        <v>70.4077712</v>
      </c>
      <c r="I71" s="93">
        <v>75.1</v>
      </c>
      <c r="J71" s="93">
        <f>K71+M71</f>
        <v>48.135446243733334</v>
      </c>
      <c r="K71" s="110">
        <f>K70*0.34</f>
        <v>35.20388560000001</v>
      </c>
      <c r="L71" s="102">
        <v>1.051</v>
      </c>
      <c r="M71" s="93">
        <f>(H71*L71-K71)/6*2</f>
        <v>12.931560643733329</v>
      </c>
      <c r="N71" s="94">
        <f>(H71*L71)-(K71+M71)</f>
        <v>25.86312128746666</v>
      </c>
      <c r="O71" s="112">
        <f>K71+M71+N71</f>
        <v>73.9985675312</v>
      </c>
      <c r="P71" s="112"/>
      <c r="Q71" s="174">
        <v>0.302</v>
      </c>
      <c r="R71" s="112">
        <f>R70*Q71</f>
        <v>71.31503124396558</v>
      </c>
      <c r="S71" s="112">
        <f>S70*Q71</f>
        <v>32.864069697679994</v>
      </c>
      <c r="T71" s="112">
        <f>T70*Q71</f>
        <v>38.45096154628559</v>
      </c>
      <c r="U71" s="223"/>
      <c r="V71" s="224"/>
    </row>
    <row r="72" spans="1:22" ht="14.25">
      <c r="A72" s="7"/>
      <c r="B72" s="9" t="s">
        <v>76</v>
      </c>
      <c r="C72" s="10" t="s">
        <v>162</v>
      </c>
      <c r="D72" s="3"/>
      <c r="E72" s="93"/>
      <c r="F72" s="93"/>
      <c r="G72" s="93"/>
      <c r="H72" s="93"/>
      <c r="I72" s="93"/>
      <c r="J72" s="93"/>
      <c r="K72" s="110"/>
      <c r="L72" s="102"/>
      <c r="M72" s="93"/>
      <c r="N72" s="94"/>
      <c r="O72" s="112"/>
      <c r="P72" s="112"/>
      <c r="Q72" s="174"/>
      <c r="R72" s="112"/>
      <c r="S72" s="112"/>
      <c r="T72" s="112"/>
      <c r="U72" s="223"/>
      <c r="V72" s="224"/>
    </row>
    <row r="73" spans="1:22" ht="14.25">
      <c r="A73" s="7"/>
      <c r="B73" s="21" t="s">
        <v>125</v>
      </c>
      <c r="C73" s="10" t="s">
        <v>159</v>
      </c>
      <c r="D73" s="3"/>
      <c r="E73" s="93">
        <v>411.16</v>
      </c>
      <c r="F73" s="93">
        <v>526.48</v>
      </c>
      <c r="G73" s="93">
        <v>507.14</v>
      </c>
      <c r="H73" s="93">
        <v>178.36054880000006</v>
      </c>
      <c r="I73" s="93">
        <v>192.63</v>
      </c>
      <c r="J73" s="121">
        <f>H73*1.051</f>
        <v>187.45693678880005</v>
      </c>
      <c r="K73" s="110">
        <f>H73/12*6</f>
        <v>89.18027440000003</v>
      </c>
      <c r="L73" s="102">
        <v>1.051</v>
      </c>
      <c r="M73" s="93">
        <f>(H73*L73-K73)/6*2</f>
        <v>32.75888746293334</v>
      </c>
      <c r="N73" s="94">
        <f>(H73*L73)-(K73+M73)</f>
        <v>65.51777492586669</v>
      </c>
      <c r="O73" s="112">
        <f>K73+M73+N73</f>
        <v>187.45693678880005</v>
      </c>
      <c r="P73" s="112"/>
      <c r="Q73" s="174">
        <v>1.049</v>
      </c>
      <c r="R73" s="112">
        <f>S73+T73</f>
        <v>192.04963174012565</v>
      </c>
      <c r="S73" s="112">
        <f>O73/2</f>
        <v>93.72846839440002</v>
      </c>
      <c r="T73" s="112">
        <f>S73*Q73</f>
        <v>98.32116334572562</v>
      </c>
      <c r="U73" s="223"/>
      <c r="V73" s="224"/>
    </row>
    <row r="74" spans="1:22" ht="42.75">
      <c r="A74" s="7"/>
      <c r="B74" s="21" t="s">
        <v>78</v>
      </c>
      <c r="C74" s="43" t="s">
        <v>79</v>
      </c>
      <c r="D74" s="40"/>
      <c r="E74" s="96"/>
      <c r="F74" s="96"/>
      <c r="G74" s="96"/>
      <c r="H74" s="96"/>
      <c r="I74" s="96"/>
      <c r="J74" s="96"/>
      <c r="K74" s="96"/>
      <c r="L74" s="144"/>
      <c r="M74" s="96"/>
      <c r="N74" s="96"/>
      <c r="O74" s="96"/>
      <c r="P74" s="96"/>
      <c r="Q74" s="79"/>
      <c r="R74" s="96">
        <f>R76</f>
        <v>24.526</v>
      </c>
      <c r="S74" s="96">
        <f>S76</f>
        <v>12.263</v>
      </c>
      <c r="T74" s="96">
        <f>T76</f>
        <v>12.263</v>
      </c>
      <c r="U74" s="223"/>
      <c r="V74" s="224"/>
    </row>
    <row r="75" spans="1:22" ht="14.25">
      <c r="A75" s="7"/>
      <c r="B75" s="21" t="s">
        <v>80</v>
      </c>
      <c r="C75" s="22" t="s">
        <v>160</v>
      </c>
      <c r="D75" s="3"/>
      <c r="E75" s="93"/>
      <c r="F75" s="93"/>
      <c r="G75" s="93"/>
      <c r="H75" s="93"/>
      <c r="I75" s="93"/>
      <c r="J75" s="93"/>
      <c r="K75" s="93"/>
      <c r="L75" s="102"/>
      <c r="M75" s="93"/>
      <c r="N75" s="94"/>
      <c r="O75" s="112"/>
      <c r="P75" s="112"/>
      <c r="Q75" s="113"/>
      <c r="R75" s="112"/>
      <c r="S75" s="112"/>
      <c r="T75" s="112"/>
      <c r="U75" s="223"/>
      <c r="V75" s="224"/>
    </row>
    <row r="76" spans="1:22" ht="14.25">
      <c r="A76" s="7"/>
      <c r="B76" s="21" t="s">
        <v>81</v>
      </c>
      <c r="C76" s="22" t="s">
        <v>82</v>
      </c>
      <c r="D76" s="3"/>
      <c r="E76" s="93"/>
      <c r="F76" s="93"/>
      <c r="G76" s="93"/>
      <c r="H76" s="93"/>
      <c r="I76" s="93"/>
      <c r="J76" s="93"/>
      <c r="K76" s="93"/>
      <c r="L76" s="102"/>
      <c r="M76" s="93"/>
      <c r="N76" s="94"/>
      <c r="O76" s="112"/>
      <c r="P76" s="112"/>
      <c r="Q76" s="113"/>
      <c r="R76" s="189">
        <f>122.63/5</f>
        <v>24.526</v>
      </c>
      <c r="S76" s="113">
        <f>R76/2</f>
        <v>12.263</v>
      </c>
      <c r="T76" s="113">
        <f>R76-S76</f>
        <v>12.263</v>
      </c>
      <c r="U76" s="223"/>
      <c r="V76" s="224"/>
    </row>
    <row r="77" spans="1:22" ht="14.25">
      <c r="A77" s="7"/>
      <c r="B77" s="21" t="s">
        <v>83</v>
      </c>
      <c r="C77" s="22"/>
      <c r="D77" s="3"/>
      <c r="E77" s="93"/>
      <c r="F77" s="93"/>
      <c r="G77" s="93"/>
      <c r="H77" s="93"/>
      <c r="I77" s="93"/>
      <c r="J77" s="93"/>
      <c r="K77" s="93"/>
      <c r="L77" s="102"/>
      <c r="M77" s="93"/>
      <c r="N77" s="94"/>
      <c r="O77" s="112"/>
      <c r="P77" s="112"/>
      <c r="Q77" s="113"/>
      <c r="R77" s="112"/>
      <c r="S77" s="112"/>
      <c r="T77" s="112"/>
      <c r="U77" s="223"/>
      <c r="V77" s="224"/>
    </row>
    <row r="78" spans="1:22" ht="14.25">
      <c r="A78" s="7"/>
      <c r="B78" s="21" t="s">
        <v>84</v>
      </c>
      <c r="C78" s="22" t="s">
        <v>85</v>
      </c>
      <c r="D78" s="3"/>
      <c r="E78" s="93"/>
      <c r="F78" s="93"/>
      <c r="G78" s="93"/>
      <c r="H78" s="93"/>
      <c r="I78" s="93"/>
      <c r="J78" s="93"/>
      <c r="K78" s="93"/>
      <c r="L78" s="102"/>
      <c r="M78" s="93"/>
      <c r="N78" s="94"/>
      <c r="O78" s="112"/>
      <c r="P78" s="112"/>
      <c r="Q78" s="113"/>
      <c r="R78" s="112"/>
      <c r="S78" s="112"/>
      <c r="T78" s="112"/>
      <c r="U78" s="223"/>
      <c r="V78" s="224"/>
    </row>
    <row r="79" spans="1:22" ht="42.75">
      <c r="A79" s="7"/>
      <c r="B79" s="21" t="s">
        <v>86</v>
      </c>
      <c r="C79" s="22" t="s">
        <v>87</v>
      </c>
      <c r="D79" s="3"/>
      <c r="E79" s="93"/>
      <c r="F79" s="93"/>
      <c r="G79" s="93"/>
      <c r="H79" s="93"/>
      <c r="I79" s="93"/>
      <c r="J79" s="93"/>
      <c r="K79" s="93"/>
      <c r="L79" s="102"/>
      <c r="M79" s="93"/>
      <c r="N79" s="94"/>
      <c r="O79" s="112"/>
      <c r="P79" s="112"/>
      <c r="Q79" s="113"/>
      <c r="R79" s="112"/>
      <c r="S79" s="112"/>
      <c r="T79" s="112"/>
      <c r="U79" s="223"/>
      <c r="V79" s="224"/>
    </row>
    <row r="80" spans="1:22" ht="14.25">
      <c r="A80" s="7"/>
      <c r="B80" s="21" t="s">
        <v>88</v>
      </c>
      <c r="C80" s="43" t="s">
        <v>89</v>
      </c>
      <c r="D80" s="40"/>
      <c r="E80" s="118"/>
      <c r="F80" s="118"/>
      <c r="G80" s="118"/>
      <c r="H80" s="118"/>
      <c r="I80" s="118"/>
      <c r="J80" s="118"/>
      <c r="K80" s="118"/>
      <c r="L80" s="102"/>
      <c r="M80" s="96"/>
      <c r="N80" s="97"/>
      <c r="O80" s="98"/>
      <c r="P80" s="98"/>
      <c r="Q80" s="113"/>
      <c r="R80" s="98"/>
      <c r="S80" s="98"/>
      <c r="T80" s="98"/>
      <c r="U80" s="223"/>
      <c r="V80" s="224"/>
    </row>
    <row r="81" spans="1:22" ht="28.5">
      <c r="A81" s="7"/>
      <c r="B81" s="21" t="s">
        <v>90</v>
      </c>
      <c r="C81" s="43" t="s">
        <v>91</v>
      </c>
      <c r="D81" s="40"/>
      <c r="E81" s="118"/>
      <c r="F81" s="118"/>
      <c r="G81" s="118"/>
      <c r="H81" s="118"/>
      <c r="I81" s="118"/>
      <c r="J81" s="118"/>
      <c r="K81" s="118"/>
      <c r="L81" s="102"/>
      <c r="M81" s="96"/>
      <c r="N81" s="97"/>
      <c r="O81" s="98"/>
      <c r="P81" s="98"/>
      <c r="Q81" s="113"/>
      <c r="R81" s="98"/>
      <c r="S81" s="98"/>
      <c r="T81" s="98"/>
      <c r="U81" s="223"/>
      <c r="V81" s="224"/>
    </row>
    <row r="82" spans="1:22" ht="14.25">
      <c r="A82" s="7"/>
      <c r="B82" s="21" t="s">
        <v>92</v>
      </c>
      <c r="C82" s="43" t="s">
        <v>93</v>
      </c>
      <c r="D82" s="40"/>
      <c r="E82" s="118"/>
      <c r="F82" s="118"/>
      <c r="G82" s="118"/>
      <c r="H82" s="118"/>
      <c r="I82" s="118"/>
      <c r="J82" s="118"/>
      <c r="K82" s="118"/>
      <c r="L82" s="102"/>
      <c r="M82" s="96"/>
      <c r="N82" s="97"/>
      <c r="O82" s="98"/>
      <c r="P82" s="98"/>
      <c r="Q82" s="113"/>
      <c r="R82" s="98"/>
      <c r="S82" s="98"/>
      <c r="T82" s="98"/>
      <c r="U82" s="223"/>
      <c r="V82" s="224"/>
    </row>
    <row r="83" spans="1:22" ht="14.25">
      <c r="A83" s="7"/>
      <c r="B83" s="209"/>
      <c r="C83" s="209"/>
      <c r="D83" s="23"/>
      <c r="E83" s="122"/>
      <c r="F83" s="122"/>
      <c r="G83" s="122"/>
      <c r="H83" s="122"/>
      <c r="I83" s="122"/>
      <c r="J83" s="122"/>
      <c r="K83" s="122"/>
      <c r="L83" s="102"/>
      <c r="M83" s="79"/>
      <c r="N83" s="123"/>
      <c r="O83" s="113"/>
      <c r="P83" s="113"/>
      <c r="Q83" s="113"/>
      <c r="R83" s="113"/>
      <c r="S83" s="113"/>
      <c r="T83" s="113"/>
      <c r="U83" s="223"/>
      <c r="V83" s="224"/>
    </row>
    <row r="84" spans="1:22" ht="14.25">
      <c r="A84" s="7"/>
      <c r="B84" s="8" t="s">
        <v>94</v>
      </c>
      <c r="C84" s="48" t="s">
        <v>95</v>
      </c>
      <c r="D84" s="24"/>
      <c r="E84" s="124">
        <v>324.9</v>
      </c>
      <c r="F84" s="124">
        <v>324.9</v>
      </c>
      <c r="G84" s="124"/>
      <c r="H84" s="124"/>
      <c r="I84" s="124"/>
      <c r="J84" s="124"/>
      <c r="K84" s="124"/>
      <c r="L84" s="102"/>
      <c r="M84" s="96"/>
      <c r="N84" s="97"/>
      <c r="O84" s="98"/>
      <c r="P84" s="98"/>
      <c r="Q84" s="113"/>
      <c r="R84" s="98"/>
      <c r="S84" s="98"/>
      <c r="T84" s="98"/>
      <c r="U84" s="223"/>
      <c r="V84" s="224"/>
    </row>
    <row r="85" spans="1:22" ht="14.25">
      <c r="A85" s="7"/>
      <c r="B85" s="9" t="s">
        <v>96</v>
      </c>
      <c r="C85" s="10" t="s">
        <v>155</v>
      </c>
      <c r="D85" s="24"/>
      <c r="E85" s="125">
        <f>E86+E87+E88</f>
        <v>289.29</v>
      </c>
      <c r="F85" s="125">
        <f>F86+F87+F88</f>
        <v>289.29</v>
      </c>
      <c r="G85" s="126"/>
      <c r="H85" s="126"/>
      <c r="I85" s="126"/>
      <c r="J85" s="126"/>
      <c r="K85" s="126"/>
      <c r="L85" s="102"/>
      <c r="M85" s="93"/>
      <c r="N85" s="94"/>
      <c r="O85" s="112"/>
      <c r="P85" s="112"/>
      <c r="Q85" s="113"/>
      <c r="R85" s="112"/>
      <c r="S85" s="112"/>
      <c r="T85" s="112"/>
      <c r="U85" s="223"/>
      <c r="V85" s="224"/>
    </row>
    <row r="86" spans="1:22" ht="14.25">
      <c r="A86" s="7"/>
      <c r="B86" s="9" t="s">
        <v>97</v>
      </c>
      <c r="C86" s="10" t="s">
        <v>98</v>
      </c>
      <c r="D86" s="24"/>
      <c r="E86" s="126">
        <v>30.61</v>
      </c>
      <c r="F86" s="126">
        <v>30.61</v>
      </c>
      <c r="G86" s="126"/>
      <c r="H86" s="126"/>
      <c r="I86" s="126"/>
      <c r="J86" s="126"/>
      <c r="K86" s="126"/>
      <c r="L86" s="102"/>
      <c r="M86" s="93"/>
      <c r="N86" s="94"/>
      <c r="O86" s="112"/>
      <c r="P86" s="112"/>
      <c r="Q86" s="113"/>
      <c r="R86" s="112"/>
      <c r="S86" s="112"/>
      <c r="T86" s="112"/>
      <c r="U86" s="223"/>
      <c r="V86" s="224"/>
    </row>
    <row r="87" spans="1:22" ht="14.25">
      <c r="A87" s="7"/>
      <c r="B87" s="9" t="s">
        <v>99</v>
      </c>
      <c r="C87" s="17" t="s">
        <v>100</v>
      </c>
      <c r="D87" s="24"/>
      <c r="E87" s="126">
        <v>5</v>
      </c>
      <c r="F87" s="126">
        <v>5</v>
      </c>
      <c r="G87" s="126"/>
      <c r="H87" s="126"/>
      <c r="I87" s="126"/>
      <c r="J87" s="126"/>
      <c r="K87" s="126"/>
      <c r="L87" s="102"/>
      <c r="M87" s="93"/>
      <c r="N87" s="94"/>
      <c r="O87" s="112"/>
      <c r="P87" s="112"/>
      <c r="Q87" s="113"/>
      <c r="R87" s="112"/>
      <c r="S87" s="112"/>
      <c r="T87" s="112"/>
      <c r="U87" s="223"/>
      <c r="V87" s="224"/>
    </row>
    <row r="88" spans="1:22" ht="14.25">
      <c r="A88" s="7"/>
      <c r="B88" s="9" t="s">
        <v>101</v>
      </c>
      <c r="C88" s="10" t="s">
        <v>102</v>
      </c>
      <c r="D88" s="24"/>
      <c r="E88" s="126">
        <v>253.68</v>
      </c>
      <c r="F88" s="126">
        <v>253.68</v>
      </c>
      <c r="G88" s="126"/>
      <c r="H88" s="126"/>
      <c r="I88" s="126"/>
      <c r="J88" s="126"/>
      <c r="K88" s="126"/>
      <c r="L88" s="102"/>
      <c r="M88" s="93"/>
      <c r="N88" s="94"/>
      <c r="O88" s="112"/>
      <c r="P88" s="112"/>
      <c r="Q88" s="113"/>
      <c r="R88" s="112"/>
      <c r="S88" s="112"/>
      <c r="T88" s="112"/>
      <c r="U88" s="223"/>
      <c r="V88" s="224"/>
    </row>
    <row r="89" spans="1:22" ht="14.25" customHeight="1" hidden="1">
      <c r="A89" s="7"/>
      <c r="B89" s="9" t="s">
        <v>103</v>
      </c>
      <c r="C89" s="10" t="s">
        <v>104</v>
      </c>
      <c r="D89" s="24"/>
      <c r="E89" s="126"/>
      <c r="F89" s="126"/>
      <c r="G89" s="126"/>
      <c r="H89" s="126"/>
      <c r="I89" s="126"/>
      <c r="J89" s="126"/>
      <c r="K89" s="126"/>
      <c r="L89" s="102"/>
      <c r="M89" s="93"/>
      <c r="N89" s="94"/>
      <c r="O89" s="112"/>
      <c r="P89" s="112"/>
      <c r="Q89" s="113"/>
      <c r="R89" s="112"/>
      <c r="S89" s="112"/>
      <c r="T89" s="112"/>
      <c r="U89" s="223"/>
      <c r="V89" s="224"/>
    </row>
    <row r="90" spans="1:22" ht="14.25" customHeight="1" hidden="1">
      <c r="A90" s="7"/>
      <c r="B90" s="9" t="s">
        <v>105</v>
      </c>
      <c r="C90" s="22" t="s">
        <v>106</v>
      </c>
      <c r="D90" s="24"/>
      <c r="E90" s="126"/>
      <c r="F90" s="126"/>
      <c r="G90" s="126"/>
      <c r="H90" s="126"/>
      <c r="I90" s="126"/>
      <c r="J90" s="126"/>
      <c r="K90" s="126"/>
      <c r="L90" s="102"/>
      <c r="M90" s="93"/>
      <c r="N90" s="94"/>
      <c r="O90" s="112"/>
      <c r="P90" s="112"/>
      <c r="Q90" s="113"/>
      <c r="R90" s="112"/>
      <c r="S90" s="112"/>
      <c r="T90" s="112"/>
      <c r="U90" s="223"/>
      <c r="V90" s="224"/>
    </row>
    <row r="91" spans="1:22" ht="14.25" customHeight="1" hidden="1">
      <c r="A91" s="7"/>
      <c r="B91" s="9" t="s">
        <v>107</v>
      </c>
      <c r="C91" s="22" t="s">
        <v>108</v>
      </c>
      <c r="D91" s="24"/>
      <c r="E91" s="126"/>
      <c r="F91" s="126"/>
      <c r="G91" s="126"/>
      <c r="H91" s="126"/>
      <c r="I91" s="126"/>
      <c r="J91" s="126"/>
      <c r="K91" s="126"/>
      <c r="L91" s="102"/>
      <c r="M91" s="93"/>
      <c r="N91" s="94"/>
      <c r="O91" s="112"/>
      <c r="P91" s="112"/>
      <c r="Q91" s="113"/>
      <c r="R91" s="112"/>
      <c r="S91" s="112"/>
      <c r="T91" s="112"/>
      <c r="U91" s="223"/>
      <c r="V91" s="224"/>
    </row>
    <row r="92" spans="1:22" ht="14.25">
      <c r="A92" s="7"/>
      <c r="B92" s="8" t="s">
        <v>131</v>
      </c>
      <c r="C92" s="31" t="s">
        <v>127</v>
      </c>
      <c r="D92" s="24"/>
      <c r="E92" s="126"/>
      <c r="F92" s="126"/>
      <c r="G92" s="126"/>
      <c r="H92" s="126"/>
      <c r="I92" s="126"/>
      <c r="J92" s="126"/>
      <c r="K92" s="126"/>
      <c r="L92" s="102"/>
      <c r="M92" s="93"/>
      <c r="N92" s="94"/>
      <c r="O92" s="112"/>
      <c r="P92" s="112"/>
      <c r="Q92" s="113"/>
      <c r="R92" s="112"/>
      <c r="S92" s="112"/>
      <c r="T92" s="112"/>
      <c r="U92" s="223"/>
      <c r="V92" s="224"/>
    </row>
    <row r="93" spans="1:22" ht="14.25">
      <c r="A93" s="7"/>
      <c r="B93" s="8" t="s">
        <v>132</v>
      </c>
      <c r="C93" s="31" t="s">
        <v>126</v>
      </c>
      <c r="D93" s="24"/>
      <c r="E93" s="126"/>
      <c r="F93" s="126"/>
      <c r="G93" s="126"/>
      <c r="H93" s="126"/>
      <c r="I93" s="126"/>
      <c r="J93" s="126"/>
      <c r="K93" s="126"/>
      <c r="L93" s="102"/>
      <c r="M93" s="93"/>
      <c r="N93" s="94"/>
      <c r="O93" s="112"/>
      <c r="P93" s="112"/>
      <c r="Q93" s="113"/>
      <c r="R93" s="112"/>
      <c r="S93" s="112"/>
      <c r="T93" s="112"/>
      <c r="U93" s="223"/>
      <c r="V93" s="224"/>
    </row>
    <row r="94" spans="1:22" ht="15">
      <c r="A94" s="7"/>
      <c r="B94" s="8" t="s">
        <v>130</v>
      </c>
      <c r="C94" s="31" t="s">
        <v>128</v>
      </c>
      <c r="D94" s="24"/>
      <c r="E94" s="127">
        <f aca="true" t="shared" si="4" ref="E94:T94">E23+E92-E93+E84</f>
        <v>5231.1208</v>
      </c>
      <c r="F94" s="127">
        <f t="shared" si="4"/>
        <v>6332.800000000001</v>
      </c>
      <c r="G94" s="127">
        <f t="shared" si="4"/>
        <v>6577.0334</v>
      </c>
      <c r="H94" s="127">
        <f t="shared" si="4"/>
        <v>6512.2128808</v>
      </c>
      <c r="I94" s="127">
        <f t="shared" si="4"/>
        <v>7107.51076</v>
      </c>
      <c r="J94" s="127">
        <f t="shared" si="4"/>
        <v>4216.017672899467</v>
      </c>
      <c r="K94" s="127">
        <f t="shared" si="4"/>
        <v>3256.4047838999995</v>
      </c>
      <c r="L94" s="146"/>
      <c r="M94" s="127">
        <f t="shared" si="4"/>
        <v>1150.5689826702665</v>
      </c>
      <c r="N94" s="127">
        <f t="shared" si="4"/>
        <v>2410.0527653405334</v>
      </c>
      <c r="O94" s="127">
        <f t="shared" si="4"/>
        <v>7017.646554120799</v>
      </c>
      <c r="P94" s="127"/>
      <c r="Q94" s="128"/>
      <c r="R94" s="127">
        <f t="shared" si="4"/>
        <v>7464.577723132392</v>
      </c>
      <c r="S94" s="127">
        <f t="shared" si="4"/>
        <v>3615.0499999999997</v>
      </c>
      <c r="T94" s="127">
        <f t="shared" si="4"/>
        <v>3849.5277231323907</v>
      </c>
      <c r="U94" s="223"/>
      <c r="V94" s="224"/>
    </row>
    <row r="95" spans="1:22" ht="14.25">
      <c r="A95" s="7"/>
      <c r="B95" s="8" t="s">
        <v>133</v>
      </c>
      <c r="C95" s="35" t="s">
        <v>129</v>
      </c>
      <c r="D95" s="24"/>
      <c r="E95" s="129">
        <f aca="true" t="shared" si="5" ref="E95:T95">IF(E$13="нет",E94,E94*1.18)</f>
        <v>5231.1208</v>
      </c>
      <c r="F95" s="129">
        <f t="shared" si="5"/>
        <v>6332.800000000001</v>
      </c>
      <c r="G95" s="129">
        <f t="shared" si="5"/>
        <v>6577.0334</v>
      </c>
      <c r="H95" s="129">
        <f t="shared" si="5"/>
        <v>6512.2128808</v>
      </c>
      <c r="I95" s="129">
        <f t="shared" si="5"/>
        <v>7107.51076</v>
      </c>
      <c r="J95" s="129">
        <f t="shared" si="5"/>
        <v>4216.017672899467</v>
      </c>
      <c r="K95" s="129">
        <f t="shared" si="5"/>
        <v>3256.4047838999995</v>
      </c>
      <c r="L95" s="144"/>
      <c r="M95" s="129">
        <f t="shared" si="5"/>
        <v>1150.5689826702665</v>
      </c>
      <c r="N95" s="129">
        <f t="shared" si="5"/>
        <v>2410.0527653405334</v>
      </c>
      <c r="O95" s="129">
        <f t="shared" si="5"/>
        <v>7017.646554120799</v>
      </c>
      <c r="P95" s="129"/>
      <c r="Q95" s="79"/>
      <c r="R95" s="129">
        <f t="shared" si="5"/>
        <v>7464.577723132392</v>
      </c>
      <c r="S95" s="129">
        <f t="shared" si="5"/>
        <v>3615.0499999999997</v>
      </c>
      <c r="T95" s="129">
        <f t="shared" si="5"/>
        <v>3849.5277231323907</v>
      </c>
      <c r="U95" s="223"/>
      <c r="V95" s="224"/>
    </row>
    <row r="96" spans="1:22" ht="15">
      <c r="A96" s="7"/>
      <c r="B96" s="25" t="s">
        <v>109</v>
      </c>
      <c r="C96" s="26" t="s">
        <v>154</v>
      </c>
      <c r="D96" s="27"/>
      <c r="E96" s="130">
        <f>E102*E18/1000</f>
        <v>0</v>
      </c>
      <c r="F96" s="130"/>
      <c r="G96" s="130">
        <f>G102*G18/1000</f>
        <v>0</v>
      </c>
      <c r="H96" s="130">
        <f>H102*H18/1000</f>
        <v>0</v>
      </c>
      <c r="I96" s="130">
        <f>I102*I18/1000</f>
        <v>0</v>
      </c>
      <c r="J96" s="130">
        <f>J102*J18/1000</f>
        <v>0</v>
      </c>
      <c r="K96" s="130">
        <f>K102*K18/1000</f>
        <v>0</v>
      </c>
      <c r="L96" s="102"/>
      <c r="M96" s="128"/>
      <c r="N96" s="131"/>
      <c r="O96" s="95"/>
      <c r="P96" s="95"/>
      <c r="Q96" s="95"/>
      <c r="R96" s="95"/>
      <c r="S96" s="95"/>
      <c r="T96" s="95"/>
      <c r="U96" s="223"/>
      <c r="V96" s="224"/>
    </row>
    <row r="97" spans="1:22" ht="14.25">
      <c r="A97" s="7"/>
      <c r="B97" s="25" t="s">
        <v>110</v>
      </c>
      <c r="C97" s="26" t="s">
        <v>121</v>
      </c>
      <c r="D97" s="28"/>
      <c r="E97" s="132"/>
      <c r="F97" s="132"/>
      <c r="G97" s="132"/>
      <c r="H97" s="132"/>
      <c r="I97" s="132"/>
      <c r="J97" s="132"/>
      <c r="K97" s="132"/>
      <c r="L97" s="147"/>
      <c r="M97" s="108"/>
      <c r="N97" s="109"/>
      <c r="O97" s="108"/>
      <c r="P97" s="108"/>
      <c r="Q97" s="79"/>
      <c r="R97" s="108"/>
      <c r="S97" s="108"/>
      <c r="T97" s="108"/>
      <c r="U97" s="223"/>
      <c r="V97" s="224"/>
    </row>
    <row r="98" spans="1:22" ht="14.25">
      <c r="A98" s="7"/>
      <c r="B98" s="210"/>
      <c r="C98" s="210"/>
      <c r="D98" s="29"/>
      <c r="E98" s="133"/>
      <c r="F98" s="133"/>
      <c r="G98" s="133"/>
      <c r="H98" s="133"/>
      <c r="I98" s="133"/>
      <c r="J98" s="133"/>
      <c r="K98" s="133"/>
      <c r="L98" s="80"/>
      <c r="M98" s="116"/>
      <c r="N98" s="139"/>
      <c r="O98" s="116"/>
      <c r="P98" s="116"/>
      <c r="Q98" s="116"/>
      <c r="R98" s="116"/>
      <c r="S98" s="116"/>
      <c r="T98" s="116"/>
      <c r="U98" s="223"/>
      <c r="V98" s="224"/>
    </row>
    <row r="99" spans="1:22" ht="0.75" customHeight="1">
      <c r="A99" s="7"/>
      <c r="B99" s="25" t="s">
        <v>111</v>
      </c>
      <c r="C99" s="26" t="s">
        <v>112</v>
      </c>
      <c r="D99" s="29"/>
      <c r="E99" s="132"/>
      <c r="F99" s="132"/>
      <c r="G99" s="132"/>
      <c r="H99" s="132"/>
      <c r="I99" s="132"/>
      <c r="J99" s="132"/>
      <c r="K99" s="132"/>
      <c r="L99" s="147"/>
      <c r="M99" s="64"/>
      <c r="N99" s="64"/>
      <c r="O99" s="64"/>
      <c r="P99" s="64"/>
      <c r="Q99" s="167"/>
      <c r="R99" s="64"/>
      <c r="S99" s="64"/>
      <c r="T99" s="64"/>
      <c r="U99" s="223"/>
      <c r="V99" s="224"/>
    </row>
    <row r="100" spans="1:22" ht="42.75">
      <c r="A100" s="7"/>
      <c r="B100" s="34" t="s">
        <v>113</v>
      </c>
      <c r="C100" s="30" t="s">
        <v>114</v>
      </c>
      <c r="D100" s="29"/>
      <c r="E100" s="126"/>
      <c r="F100" s="126"/>
      <c r="G100" s="126"/>
      <c r="H100" s="126"/>
      <c r="I100" s="126"/>
      <c r="J100" s="126"/>
      <c r="K100" s="126"/>
      <c r="L100" s="81"/>
      <c r="M100" s="110"/>
      <c r="N100" s="134"/>
      <c r="O100" s="110"/>
      <c r="P100" s="110"/>
      <c r="Q100" s="116"/>
      <c r="R100" s="110"/>
      <c r="S100" s="110"/>
      <c r="T100" s="110"/>
      <c r="U100" s="223"/>
      <c r="V100" s="224"/>
    </row>
    <row r="101" spans="1:22" ht="28.5">
      <c r="A101" s="7"/>
      <c r="B101" s="208" t="s">
        <v>115</v>
      </c>
      <c r="C101" s="30" t="s">
        <v>116</v>
      </c>
      <c r="D101" s="29"/>
      <c r="E101" s="135"/>
      <c r="F101" s="135"/>
      <c r="G101" s="135"/>
      <c r="H101" s="135"/>
      <c r="I101" s="135"/>
      <c r="J101" s="135"/>
      <c r="K101" s="135"/>
      <c r="L101" s="148"/>
      <c r="M101" s="65"/>
      <c r="N101" s="65"/>
      <c r="O101" s="65"/>
      <c r="P101" s="65"/>
      <c r="Q101" s="168"/>
      <c r="R101" s="65"/>
      <c r="S101" s="65"/>
      <c r="T101" s="65"/>
      <c r="U101" s="223"/>
      <c r="V101" s="224"/>
    </row>
    <row r="102" spans="1:22" ht="28.5">
      <c r="A102" s="7"/>
      <c r="B102" s="208"/>
      <c r="C102" s="30" t="s">
        <v>117</v>
      </c>
      <c r="D102" s="29"/>
      <c r="E102" s="135"/>
      <c r="F102" s="135"/>
      <c r="G102" s="135"/>
      <c r="H102" s="136"/>
      <c r="I102" s="135"/>
      <c r="J102" s="136"/>
      <c r="K102" s="136"/>
      <c r="L102" s="149"/>
      <c r="M102" s="66"/>
      <c r="N102" s="66"/>
      <c r="O102" s="66"/>
      <c r="P102" s="66"/>
      <c r="Q102" s="169"/>
      <c r="R102" s="66"/>
      <c r="S102" s="66"/>
      <c r="T102" s="66"/>
      <c r="U102" s="223"/>
      <c r="V102" s="224"/>
    </row>
    <row r="103" spans="2:22" ht="17.25">
      <c r="B103" s="33" t="s">
        <v>134</v>
      </c>
      <c r="C103" s="50" t="s">
        <v>156</v>
      </c>
      <c r="E103" s="137">
        <f aca="true" t="shared" si="6" ref="E103:N103">ROUND(E94/E18,2)</f>
        <v>48.82</v>
      </c>
      <c r="F103" s="137">
        <f t="shared" si="6"/>
        <v>34.03</v>
      </c>
      <c r="G103" s="137">
        <f t="shared" si="6"/>
        <v>54.45</v>
      </c>
      <c r="H103" s="137">
        <f t="shared" si="6"/>
        <v>38.31</v>
      </c>
      <c r="I103" s="137">
        <f t="shared" si="6"/>
        <v>40.24</v>
      </c>
      <c r="J103" s="137">
        <f t="shared" si="6"/>
        <v>23.87</v>
      </c>
      <c r="K103" s="137">
        <f t="shared" si="6"/>
        <v>38.31</v>
      </c>
      <c r="L103" s="150"/>
      <c r="M103" s="137">
        <f t="shared" si="6"/>
        <v>40.61</v>
      </c>
      <c r="N103" s="137">
        <f t="shared" si="6"/>
        <v>42.53</v>
      </c>
      <c r="O103" s="179">
        <f>ROUND(O94/O18,2)</f>
        <v>41.28</v>
      </c>
      <c r="P103" s="179"/>
      <c r="Q103" s="170"/>
      <c r="R103" s="179">
        <f>R94/R18</f>
        <v>43.90928072430819</v>
      </c>
      <c r="S103" s="179">
        <f>S94/S18</f>
        <v>42.529999999999994</v>
      </c>
      <c r="T103" s="179">
        <f>T94/T18</f>
        <v>45.28856144861636</v>
      </c>
      <c r="U103" s="223"/>
      <c r="V103" s="224"/>
    </row>
    <row r="104" spans="2:22" ht="17.25">
      <c r="B104" s="33" t="s">
        <v>135</v>
      </c>
      <c r="C104" s="50" t="s">
        <v>157</v>
      </c>
      <c r="E104" s="137">
        <f aca="true" t="shared" si="7" ref="E104:N104">ROUND(E95/E18,2)</f>
        <v>48.82</v>
      </c>
      <c r="F104" s="137">
        <f t="shared" si="7"/>
        <v>34.03</v>
      </c>
      <c r="G104" s="137">
        <f t="shared" si="7"/>
        <v>54.45</v>
      </c>
      <c r="H104" s="137">
        <f t="shared" si="7"/>
        <v>38.31</v>
      </c>
      <c r="I104" s="137">
        <f t="shared" si="7"/>
        <v>40.24</v>
      </c>
      <c r="J104" s="137">
        <f t="shared" si="7"/>
        <v>23.87</v>
      </c>
      <c r="K104" s="137">
        <f t="shared" si="7"/>
        <v>38.31</v>
      </c>
      <c r="L104" s="150"/>
      <c r="M104" s="137">
        <f t="shared" si="7"/>
        <v>40.61</v>
      </c>
      <c r="N104" s="137">
        <f t="shared" si="7"/>
        <v>42.53</v>
      </c>
      <c r="O104" s="137">
        <f>ROUND(O95/O18,2)</f>
        <v>41.28</v>
      </c>
      <c r="P104" s="137"/>
      <c r="Q104" s="170"/>
      <c r="R104" s="179"/>
      <c r="S104" s="179"/>
      <c r="T104" s="179"/>
      <c r="U104" s="223"/>
      <c r="V104" s="224"/>
    </row>
    <row r="105" spans="2:22" ht="36" customHeight="1">
      <c r="B105" s="33" t="s">
        <v>153</v>
      </c>
      <c r="C105" s="51" t="s">
        <v>158</v>
      </c>
      <c r="D105" s="32"/>
      <c r="E105" s="138">
        <f aca="true" t="shared" si="8" ref="E105:O105">E104+E101</f>
        <v>48.82</v>
      </c>
      <c r="F105" s="138">
        <f t="shared" si="8"/>
        <v>34.03</v>
      </c>
      <c r="G105" s="138">
        <f t="shared" si="8"/>
        <v>54.45</v>
      </c>
      <c r="H105" s="138">
        <f t="shared" si="8"/>
        <v>38.31</v>
      </c>
      <c r="I105" s="138">
        <f t="shared" si="8"/>
        <v>40.24</v>
      </c>
      <c r="J105" s="138">
        <f t="shared" si="8"/>
        <v>23.87</v>
      </c>
      <c r="K105" s="138">
        <f t="shared" si="8"/>
        <v>38.31</v>
      </c>
      <c r="L105" s="151"/>
      <c r="M105" s="138">
        <f t="shared" si="8"/>
        <v>40.61</v>
      </c>
      <c r="N105" s="138">
        <f t="shared" si="8"/>
        <v>42.53</v>
      </c>
      <c r="O105" s="138">
        <f t="shared" si="8"/>
        <v>41.28</v>
      </c>
      <c r="P105" s="138"/>
      <c r="Q105" s="171"/>
      <c r="R105" s="138"/>
      <c r="S105" s="138"/>
      <c r="T105" s="138"/>
      <c r="U105" s="223"/>
      <c r="V105" s="224"/>
    </row>
    <row r="107" spans="11:20" ht="12.75">
      <c r="K107">
        <f>K105/H105*100</f>
        <v>100</v>
      </c>
      <c r="M107" s="54">
        <f>M105/H105*100</f>
        <v>106.00365439832942</v>
      </c>
      <c r="N107" s="54">
        <f>N105/M105*100</f>
        <v>104.72789953213496</v>
      </c>
      <c r="R107" s="177">
        <f>R103/O103</f>
        <v>1.0636938159958378</v>
      </c>
      <c r="S107" s="153">
        <f>S103/N103*100</f>
        <v>99.99999999999997</v>
      </c>
      <c r="T107" s="153">
        <f>T103/N103*100</f>
        <v>106.48615435837377</v>
      </c>
    </row>
    <row r="108" spans="5:11" ht="15">
      <c r="E108" s="53"/>
      <c r="F108" s="53"/>
      <c r="G108" s="55"/>
      <c r="H108" s="56"/>
      <c r="I108" s="55"/>
      <c r="J108" s="56"/>
      <c r="K108" s="56"/>
    </row>
    <row r="109" spans="11:15" ht="12.75">
      <c r="K109" s="69"/>
      <c r="N109" s="153">
        <f>N105/H105*100</f>
        <v>111.01540067867397</v>
      </c>
      <c r="O109" s="72" t="s">
        <v>181</v>
      </c>
    </row>
    <row r="110" ht="12.75">
      <c r="K110" s="69"/>
    </row>
    <row r="111" spans="2:13" ht="21" customHeight="1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</row>
    <row r="112" spans="2:13" ht="18" customHeight="1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</row>
    <row r="113" spans="2:13" ht="20.25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</row>
    <row r="114" spans="7:12" ht="18">
      <c r="G114" s="57"/>
      <c r="H114" s="57"/>
      <c r="I114" s="57"/>
      <c r="J114" s="57"/>
      <c r="K114" s="69"/>
      <c r="L114" s="82"/>
    </row>
    <row r="115" spans="7:20" ht="18.75" customHeight="1">
      <c r="G115" s="57"/>
      <c r="H115" s="57"/>
      <c r="I115" s="57"/>
      <c r="J115" s="58"/>
      <c r="K115" s="58"/>
      <c r="L115" s="82"/>
      <c r="M115" s="157"/>
      <c r="N115" s="157"/>
      <c r="O115" s="157"/>
      <c r="P115" s="157"/>
      <c r="Q115" s="172"/>
      <c r="R115" s="157"/>
      <c r="S115" s="157"/>
      <c r="T115" s="157"/>
    </row>
    <row r="116" spans="13:20" ht="27.75" customHeight="1">
      <c r="M116" s="157"/>
      <c r="N116" s="157"/>
      <c r="O116" s="157"/>
      <c r="P116" s="157"/>
      <c r="Q116" s="172"/>
      <c r="R116" s="157"/>
      <c r="S116" s="157"/>
      <c r="T116" s="157"/>
    </row>
    <row r="117" spans="13:20" ht="29.25" customHeight="1">
      <c r="M117" s="157"/>
      <c r="N117" s="157"/>
      <c r="O117" s="157"/>
      <c r="P117" s="157"/>
      <c r="Q117" s="172"/>
      <c r="R117" s="157"/>
      <c r="S117" s="157"/>
      <c r="T117" s="157"/>
    </row>
    <row r="118" spans="10:11" ht="12.75">
      <c r="J118" s="52"/>
      <c r="K118" s="52"/>
    </row>
    <row r="119" ht="12.75">
      <c r="K119" s="52"/>
    </row>
  </sheetData>
  <sheetProtection/>
  <mergeCells count="123">
    <mergeCell ref="U103:V103"/>
    <mergeCell ref="U104:V104"/>
    <mergeCell ref="U105:V105"/>
    <mergeCell ref="U99:V99"/>
    <mergeCell ref="U100:V100"/>
    <mergeCell ref="U101:V101"/>
    <mergeCell ref="U102:V102"/>
    <mergeCell ref="U93:V93"/>
    <mergeCell ref="U94:V94"/>
    <mergeCell ref="U95:V95"/>
    <mergeCell ref="U96:V96"/>
    <mergeCell ref="U97:V97"/>
    <mergeCell ref="U98:V98"/>
    <mergeCell ref="U87:V87"/>
    <mergeCell ref="U88:V88"/>
    <mergeCell ref="U89:V89"/>
    <mergeCell ref="U90:V90"/>
    <mergeCell ref="U91:V91"/>
    <mergeCell ref="U92:V92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57:V57"/>
    <mergeCell ref="U58:V58"/>
    <mergeCell ref="U59:V59"/>
    <mergeCell ref="U60:V60"/>
    <mergeCell ref="U61:V61"/>
    <mergeCell ref="U62:V62"/>
    <mergeCell ref="U51:V51"/>
    <mergeCell ref="U52:V52"/>
    <mergeCell ref="U53:V53"/>
    <mergeCell ref="U54:V54"/>
    <mergeCell ref="U55:V55"/>
    <mergeCell ref="U56:V56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33:V33"/>
    <mergeCell ref="U34:V34"/>
    <mergeCell ref="U35:V35"/>
    <mergeCell ref="U36:V36"/>
    <mergeCell ref="U37:V37"/>
    <mergeCell ref="U38:V38"/>
    <mergeCell ref="U27:V27"/>
    <mergeCell ref="U28:V28"/>
    <mergeCell ref="U29:V29"/>
    <mergeCell ref="U30:V30"/>
    <mergeCell ref="U31:V31"/>
    <mergeCell ref="U32:V32"/>
    <mergeCell ref="U21:V21"/>
    <mergeCell ref="U22:V22"/>
    <mergeCell ref="U23:V23"/>
    <mergeCell ref="U24:V24"/>
    <mergeCell ref="U25:V25"/>
    <mergeCell ref="U26:V26"/>
    <mergeCell ref="U15:V15"/>
    <mergeCell ref="U16:V16"/>
    <mergeCell ref="U17:V17"/>
    <mergeCell ref="U18:V18"/>
    <mergeCell ref="U19:V19"/>
    <mergeCell ref="U20:V20"/>
    <mergeCell ref="O11:O12"/>
    <mergeCell ref="I11:I12"/>
    <mergeCell ref="U10:V10"/>
    <mergeCell ref="U11:V12"/>
    <mergeCell ref="U13:V13"/>
    <mergeCell ref="U14:V14"/>
    <mergeCell ref="B101:B102"/>
    <mergeCell ref="B83:C83"/>
    <mergeCell ref="B98:C98"/>
    <mergeCell ref="E11:E12"/>
    <mergeCell ref="B10:B12"/>
    <mergeCell ref="C10:C12"/>
    <mergeCell ref="H11:H12"/>
    <mergeCell ref="E14:H14"/>
    <mergeCell ref="B9:C9"/>
    <mergeCell ref="F11:F12"/>
    <mergeCell ref="G11:G12"/>
    <mergeCell ref="N11:N12"/>
    <mergeCell ref="L11:L12"/>
    <mergeCell ref="M11:M12"/>
    <mergeCell ref="J11:J12"/>
    <mergeCell ref="K11:K12"/>
    <mergeCell ref="S11:S12"/>
    <mergeCell ref="T11:T12"/>
    <mergeCell ref="R11:R12"/>
    <mergeCell ref="Q11:Q12"/>
    <mergeCell ref="M2:N2"/>
    <mergeCell ref="M3:O3"/>
    <mergeCell ref="M4:O4"/>
    <mergeCell ref="M5:O5"/>
    <mergeCell ref="I6:O6"/>
    <mergeCell ref="B8:L8"/>
  </mergeCells>
  <dataValidations count="3">
    <dataValidation type="decimal" allowBlank="1" showInputMessage="1" showErrorMessage="1" errorTitle="Ошибка" error="Допускается ввод только числовых значений!" sqref="E85:K94 L94:T94 M96:N96">
      <formula1>-9999999999999990000000000</formula1>
      <formula2>9.99999999999999E+25</formula2>
    </dataValidation>
    <dataValidation type="decimal" allowBlank="1" showInputMessage="1" showErrorMessage="1" sqref="E95:T95 M97:T97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E100:L100">
      <formula1>0</formula1>
    </dataValidation>
  </dataValidations>
  <printOptions/>
  <pageMargins left="0.38" right="0.75" top="0.55" bottom="1" header="0.5" footer="0.5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Анна</cp:lastModifiedBy>
  <cp:lastPrinted>2011-11-18T10:04:49Z</cp:lastPrinted>
  <dcterms:created xsi:type="dcterms:W3CDTF">2010-09-22T07:16:37Z</dcterms:created>
  <dcterms:modified xsi:type="dcterms:W3CDTF">2013-01-11T07:42:16Z</dcterms:modified>
  <cp:category/>
  <cp:version/>
  <cp:contentType/>
  <cp:contentStatus/>
</cp:coreProperties>
</file>