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065" yWindow="-15" windowWidth="9090" windowHeight="11640" tabRatio="151" firstSheet="1" activeTab="1"/>
  </bookViews>
  <sheets>
    <sheet name="2015 (2)" sheetId="7" r:id="rId1"/>
    <sheet name="2015" sheetId="5" r:id="rId2"/>
    <sheet name="2012-2013" sheetId="6" state="hidden" r:id="rId3"/>
  </sheets>
  <definedNames>
    <definedName name="_xlnm._FilterDatabase" localSheetId="1" hidden="1">'2015'!$F$17:$G$17</definedName>
    <definedName name="_xlnm._FilterDatabase" localSheetId="0" hidden="1">'2015 (2)'!$A$15:$R$443</definedName>
    <definedName name="_xlnm.Print_Area" localSheetId="2">'2012-2013'!$A$1:$L$787</definedName>
    <definedName name="_xlnm.Print_Area" localSheetId="1">'2015'!$A$1:$J$1345</definedName>
    <definedName name="_xlnm.Print_Area" localSheetId="0">'2015 (2)'!$A$1:$U$1195</definedName>
  </definedNames>
  <calcPr calcId="144525"/>
</workbook>
</file>

<file path=xl/calcChain.xml><?xml version="1.0" encoding="utf-8"?>
<calcChain xmlns="http://schemas.openxmlformats.org/spreadsheetml/2006/main">
  <c r="J554" i="5" l="1"/>
  <c r="J552" i="5"/>
  <c r="J550" i="5"/>
  <c r="H554" i="5"/>
  <c r="H552" i="5"/>
  <c r="H550" i="5"/>
  <c r="I550" i="5" s="1"/>
  <c r="I553" i="5"/>
  <c r="I551" i="5"/>
  <c r="J549" i="5"/>
  <c r="H544" i="5"/>
  <c r="H545" i="5"/>
  <c r="J279" i="5"/>
  <c r="I543" i="5"/>
  <c r="J542" i="5"/>
  <c r="J541" i="5" s="1"/>
  <c r="I541" i="5" s="1"/>
  <c r="H542" i="5"/>
  <c r="H541" i="5" s="1"/>
  <c r="J535" i="5"/>
  <c r="J534" i="5" s="1"/>
  <c r="H535" i="5"/>
  <c r="H534" i="5" s="1"/>
  <c r="I536" i="5"/>
  <c r="I535" i="5"/>
  <c r="I366" i="5"/>
  <c r="I365" i="5"/>
  <c r="J365" i="5"/>
  <c r="H365" i="5"/>
  <c r="I146" i="5"/>
  <c r="I145" i="5"/>
  <c r="I144" i="5"/>
  <c r="H143" i="5"/>
  <c r="J143" i="5"/>
  <c r="J548" i="5" l="1"/>
  <c r="I548" i="5" s="1"/>
  <c r="H548" i="5"/>
  <c r="H549" i="5"/>
  <c r="I552" i="5"/>
  <c r="H511" i="5"/>
  <c r="J540" i="5"/>
  <c r="I542" i="5"/>
  <c r="H540" i="5"/>
  <c r="J533" i="5"/>
  <c r="H533" i="5"/>
  <c r="I534" i="5"/>
  <c r="I533" i="5"/>
  <c r="I143" i="5"/>
  <c r="H245" i="5"/>
  <c r="J245" i="5"/>
  <c r="J150" i="5"/>
  <c r="H150" i="5"/>
  <c r="I540" i="5" l="1"/>
  <c r="I592" i="5"/>
  <c r="I590" i="5"/>
  <c r="I588" i="5"/>
  <c r="I586" i="5"/>
  <c r="I584" i="5"/>
  <c r="I583" i="5"/>
  <c r="I582" i="5"/>
  <c r="I580" i="5"/>
  <c r="I576" i="5"/>
  <c r="I575" i="5"/>
  <c r="I574" i="5"/>
  <c r="I573" i="5"/>
  <c r="I572" i="5"/>
  <c r="I571" i="5"/>
  <c r="I570" i="5"/>
  <c r="I569" i="5"/>
  <c r="I568" i="5"/>
  <c r="I567" i="5"/>
  <c r="I566" i="5"/>
  <c r="I565" i="5"/>
  <c r="I564" i="5"/>
  <c r="I563" i="5"/>
  <c r="I562" i="5"/>
  <c r="I561" i="5"/>
  <c r="I560" i="5"/>
  <c r="I559" i="5"/>
  <c r="I558" i="5"/>
  <c r="I557" i="5"/>
  <c r="I556" i="5"/>
  <c r="I555" i="5"/>
  <c r="I547" i="5"/>
  <c r="I539" i="5"/>
  <c r="I532" i="5"/>
  <c r="I531" i="5"/>
  <c r="I530" i="5"/>
  <c r="I529" i="5"/>
  <c r="I528" i="5"/>
  <c r="I527" i="5"/>
  <c r="I526" i="5"/>
  <c r="I525" i="5"/>
  <c r="I524" i="5"/>
  <c r="I523" i="5"/>
  <c r="I522" i="5"/>
  <c r="I521" i="5"/>
  <c r="I520" i="5"/>
  <c r="I519" i="5"/>
  <c r="I518" i="5"/>
  <c r="I517" i="5"/>
  <c r="I516" i="5"/>
  <c r="I515" i="5"/>
  <c r="I514" i="5"/>
  <c r="I513" i="5"/>
  <c r="I509" i="5"/>
  <c r="I508" i="5"/>
  <c r="I507" i="5"/>
  <c r="I506" i="5"/>
  <c r="I503" i="5"/>
  <c r="I502" i="5"/>
  <c r="I501" i="5"/>
  <c r="I500" i="5"/>
  <c r="I499" i="5"/>
  <c r="I498" i="5"/>
  <c r="I497" i="5"/>
  <c r="I496" i="5"/>
  <c r="I494" i="5"/>
  <c r="I493" i="5"/>
  <c r="I490" i="5"/>
  <c r="I489" i="5"/>
  <c r="I488" i="5"/>
  <c r="I487" i="5"/>
  <c r="I485" i="5"/>
  <c r="I484" i="5"/>
  <c r="I480" i="5"/>
  <c r="I479" i="5"/>
  <c r="I476" i="5"/>
  <c r="I472" i="5"/>
  <c r="I469" i="5"/>
  <c r="I468" i="5"/>
  <c r="I467" i="5"/>
  <c r="I466" i="5"/>
  <c r="I463" i="5"/>
  <c r="I462" i="5"/>
  <c r="I461" i="5"/>
  <c r="I460" i="5"/>
  <c r="I459" i="5"/>
  <c r="I458" i="5"/>
  <c r="I457" i="5"/>
  <c r="I456" i="5"/>
  <c r="I453" i="5"/>
  <c r="I452" i="5"/>
  <c r="I451" i="5"/>
  <c r="I450" i="5"/>
  <c r="I449" i="5"/>
  <c r="I448" i="5"/>
  <c r="I447" i="5"/>
  <c r="I446" i="5"/>
  <c r="I445" i="5"/>
  <c r="I444" i="5"/>
  <c r="I443" i="5"/>
  <c r="I442" i="5"/>
  <c r="I441" i="5"/>
  <c r="I440" i="5"/>
  <c r="I439" i="5"/>
  <c r="I436" i="5"/>
  <c r="I435" i="5"/>
  <c r="I434" i="5"/>
  <c r="I433" i="5"/>
  <c r="I432" i="5"/>
  <c r="I431" i="5"/>
  <c r="I430" i="5"/>
  <c r="I429" i="5"/>
  <c r="I428" i="5"/>
  <c r="I427" i="5"/>
  <c r="I426" i="5"/>
  <c r="I425" i="5"/>
  <c r="I424" i="5"/>
  <c r="I423" i="5"/>
  <c r="I422" i="5"/>
  <c r="I419" i="5"/>
  <c r="I418" i="5"/>
  <c r="I416" i="5"/>
  <c r="I415" i="5"/>
  <c r="I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2" i="5"/>
  <c r="I371" i="5"/>
  <c r="I370" i="5"/>
  <c r="I369" i="5"/>
  <c r="I368" i="5"/>
  <c r="I367" i="5"/>
  <c r="I364" i="5"/>
  <c r="I363" i="5"/>
  <c r="I362" i="5"/>
  <c r="I361" i="5"/>
  <c r="I360" i="5"/>
  <c r="I359" i="5"/>
  <c r="I358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6" i="5"/>
  <c r="I275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7" i="5"/>
  <c r="I256" i="5"/>
  <c r="I255" i="5"/>
  <c r="I254" i="5"/>
  <c r="I253" i="5"/>
  <c r="I252" i="5"/>
  <c r="I251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0" i="5"/>
  <c r="I229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2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8" i="5"/>
  <c r="I167" i="5"/>
  <c r="I166" i="5"/>
  <c r="I165" i="5"/>
  <c r="I164" i="5"/>
  <c r="I162" i="5"/>
  <c r="I161" i="5"/>
  <c r="I160" i="5"/>
  <c r="I159" i="5"/>
  <c r="I156" i="5"/>
  <c r="I155" i="5"/>
  <c r="I154" i="5"/>
  <c r="I153" i="5"/>
  <c r="I152" i="5"/>
  <c r="I151" i="5"/>
  <c r="I150" i="5"/>
  <c r="I148" i="5"/>
  <c r="I142" i="5"/>
  <c r="I141" i="5"/>
  <c r="I140" i="5"/>
  <c r="I139" i="5"/>
  <c r="I135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6" i="5"/>
  <c r="I45" i="5"/>
  <c r="I44" i="5"/>
  <c r="I43" i="5"/>
  <c r="I42" i="5"/>
  <c r="I41" i="5"/>
  <c r="I40" i="5"/>
  <c r="I39" i="5"/>
  <c r="I38" i="5"/>
  <c r="I37" i="5"/>
  <c r="I36" i="5"/>
  <c r="I35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J415" i="5" l="1"/>
  <c r="J414" i="5" s="1"/>
  <c r="H415" i="5"/>
  <c r="H414" i="5" s="1"/>
  <c r="J459" i="5"/>
  <c r="J480" i="5"/>
  <c r="J478" i="5" s="1"/>
  <c r="J564" i="5"/>
  <c r="J563" i="5" s="1"/>
  <c r="H564" i="5"/>
  <c r="H563" i="5" s="1"/>
  <c r="J561" i="5"/>
  <c r="J559" i="5"/>
  <c r="J557" i="5"/>
  <c r="H561" i="5"/>
  <c r="H559" i="5"/>
  <c r="H557" i="5"/>
  <c r="H504" i="5"/>
  <c r="H478" i="5"/>
  <c r="I478" i="5" s="1"/>
  <c r="J468" i="5"/>
  <c r="J467" i="5" s="1"/>
  <c r="H468" i="5"/>
  <c r="H467" i="5" s="1"/>
  <c r="J461" i="5"/>
  <c r="H461" i="5"/>
  <c r="J458" i="5"/>
  <c r="J457" i="5" s="1"/>
  <c r="H458" i="5"/>
  <c r="H457" i="5" s="1"/>
  <c r="J435" i="5"/>
  <c r="H435" i="5"/>
  <c r="J421" i="5"/>
  <c r="I421" i="5" s="1"/>
  <c r="H421" i="5"/>
  <c r="J418" i="5"/>
  <c r="H418" i="5"/>
  <c r="J556" i="5" l="1"/>
  <c r="H556" i="5"/>
  <c r="H374" i="5"/>
  <c r="J374" i="5"/>
  <c r="J368" i="5"/>
  <c r="J367" i="5" s="1"/>
  <c r="H368" i="5"/>
  <c r="H367" i="5" s="1"/>
  <c r="J349" i="5"/>
  <c r="H349" i="5"/>
  <c r="J345" i="5"/>
  <c r="H345" i="5"/>
  <c r="J328" i="5"/>
  <c r="H328" i="5"/>
  <c r="J269" i="5" l="1"/>
  <c r="J285" i="5"/>
  <c r="H285" i="5"/>
  <c r="J278" i="5"/>
  <c r="J275" i="5"/>
  <c r="H278" i="5"/>
  <c r="H277" i="5" s="1"/>
  <c r="H275" i="5"/>
  <c r="H274" i="5" s="1"/>
  <c r="J272" i="5"/>
  <c r="J271" i="5" s="1"/>
  <c r="H272" i="5"/>
  <c r="H271" i="5" s="1"/>
  <c r="H261" i="5"/>
  <c r="J261" i="5"/>
  <c r="J251" i="5"/>
  <c r="H251" i="5"/>
  <c r="J246" i="5"/>
  <c r="H246" i="5"/>
  <c r="J248" i="5"/>
  <c r="H248" i="5"/>
  <c r="J155" i="5"/>
  <c r="H155" i="5"/>
  <c r="J138" i="5"/>
  <c r="J151" i="5"/>
  <c r="H151" i="5"/>
  <c r="J111" i="5"/>
  <c r="H111" i="5"/>
  <c r="J36" i="5"/>
  <c r="H36" i="5"/>
  <c r="J277" i="5" l="1"/>
  <c r="I277" i="5" s="1"/>
  <c r="I278" i="5"/>
  <c r="J274" i="5"/>
  <c r="I274" i="5" s="1"/>
  <c r="J137" i="5"/>
  <c r="J270" i="5"/>
  <c r="H270" i="5"/>
  <c r="H591" i="5" l="1"/>
  <c r="H589" i="5"/>
  <c r="H587" i="5"/>
  <c r="H585" i="5"/>
  <c r="H584" i="5"/>
  <c r="H583" i="5"/>
  <c r="H581" i="5"/>
  <c r="H579" i="5"/>
  <c r="H575" i="5"/>
  <c r="H574" i="5" s="1"/>
  <c r="H572" i="5"/>
  <c r="H571" i="5" s="1"/>
  <c r="H568" i="5"/>
  <c r="H567" i="5" s="1"/>
  <c r="H566" i="5"/>
  <c r="H546" i="5"/>
  <c r="H538" i="5"/>
  <c r="H537" i="5" s="1"/>
  <c r="H531" i="5"/>
  <c r="H530" i="5" s="1"/>
  <c r="H528" i="5"/>
  <c r="H527" i="5" s="1"/>
  <c r="H525" i="5"/>
  <c r="H524" i="5" s="1"/>
  <c r="H523" i="5" s="1"/>
  <c r="H520" i="5"/>
  <c r="H519" i="5"/>
  <c r="H518" i="5"/>
  <c r="H517" i="5"/>
  <c r="H516" i="5" s="1"/>
  <c r="H515" i="5"/>
  <c r="H514" i="5" s="1"/>
  <c r="H508" i="5"/>
  <c r="H507" i="5" s="1"/>
  <c r="H505" i="5"/>
  <c r="H503" i="5"/>
  <c r="H502" i="5" s="1"/>
  <c r="H499" i="5"/>
  <c r="H498" i="5"/>
  <c r="H497" i="5"/>
  <c r="H496" i="5"/>
  <c r="H495" i="5" s="1"/>
  <c r="H494" i="5"/>
  <c r="H493" i="5" s="1"/>
  <c r="H488" i="5"/>
  <c r="H486" i="5"/>
  <c r="H484" i="5"/>
  <c r="H483" i="5" s="1"/>
  <c r="H477" i="5"/>
  <c r="I477" i="5" s="1"/>
  <c r="H475" i="5"/>
  <c r="H474" i="5" s="1"/>
  <c r="H471" i="5"/>
  <c r="H470" i="5" s="1"/>
  <c r="H465" i="5"/>
  <c r="H464" i="5" s="1"/>
  <c r="H460" i="5"/>
  <c r="H455" i="5"/>
  <c r="H452" i="5"/>
  <c r="H450" i="5"/>
  <c r="H448" i="5"/>
  <c r="H445" i="5"/>
  <c r="H441" i="5"/>
  <c r="H438" i="5"/>
  <c r="H433" i="5"/>
  <c r="H430" i="5"/>
  <c r="H428" i="5"/>
  <c r="H426" i="5"/>
  <c r="H424" i="5"/>
  <c r="H422" i="5"/>
  <c r="H412" i="5"/>
  <c r="H410" i="5"/>
  <c r="H407" i="5"/>
  <c r="H405" i="5"/>
  <c r="H403" i="5"/>
  <c r="H401" i="5"/>
  <c r="H397" i="5"/>
  <c r="H396" i="5" s="1"/>
  <c r="H392" i="5"/>
  <c r="H387" i="5"/>
  <c r="H386" i="5" s="1"/>
  <c r="H385" i="5"/>
  <c r="H384" i="5" s="1"/>
  <c r="H381" i="5"/>
  <c r="H380" i="5"/>
  <c r="H379" i="5"/>
  <c r="H378" i="5"/>
  <c r="H363" i="5"/>
  <c r="H371" i="5"/>
  <c r="H370" i="5" s="1"/>
  <c r="H361" i="5"/>
  <c r="H360" i="5" s="1"/>
  <c r="H359" i="5" s="1"/>
  <c r="H357" i="5"/>
  <c r="H341" i="5" s="1"/>
  <c r="H353" i="5"/>
  <c r="H352" i="5" s="1"/>
  <c r="H344" i="5"/>
  <c r="H343" i="5" s="1"/>
  <c r="H342" i="5" s="1"/>
  <c r="H340" i="5"/>
  <c r="H339" i="5"/>
  <c r="H338" i="5"/>
  <c r="H337" i="5" s="1"/>
  <c r="H333" i="5"/>
  <c r="H332" i="5"/>
  <c r="H331" i="5" s="1"/>
  <c r="H327" i="5" s="1"/>
  <c r="H324" i="5"/>
  <c r="H323" i="5"/>
  <c r="H321" i="5"/>
  <c r="H320" i="5" s="1"/>
  <c r="H319" i="5"/>
  <c r="H317" i="5"/>
  <c r="H316" i="5" s="1"/>
  <c r="H314" i="5"/>
  <c r="H313" i="5" s="1"/>
  <c r="H311" i="5"/>
  <c r="H310" i="5" s="1"/>
  <c r="H306" i="5"/>
  <c r="H305" i="5" s="1"/>
  <c r="H303" i="5"/>
  <c r="H302" i="5" s="1"/>
  <c r="H298" i="5"/>
  <c r="H297" i="5" s="1"/>
  <c r="H294" i="5"/>
  <c r="H292" i="5"/>
  <c r="H290" i="5"/>
  <c r="H288" i="5"/>
  <c r="H282" i="5"/>
  <c r="H281" i="5" s="1"/>
  <c r="H280" i="5"/>
  <c r="H269" i="5"/>
  <c r="H268" i="5"/>
  <c r="H267" i="5" s="1"/>
  <c r="H266" i="5" s="1"/>
  <c r="H264" i="5"/>
  <c r="H263" i="5" s="1"/>
  <c r="H259" i="5"/>
  <c r="H256" i="5"/>
  <c r="H254" i="5"/>
  <c r="H244" i="5"/>
  <c r="H243" i="5"/>
  <c r="H240" i="5"/>
  <c r="H236" i="5"/>
  <c r="H235" i="5" s="1"/>
  <c r="H233" i="5"/>
  <c r="H231" i="5"/>
  <c r="H229" i="5"/>
  <c r="H228" i="5"/>
  <c r="H226" i="5"/>
  <c r="H224" i="5"/>
  <c r="H223" i="5" s="1"/>
  <c r="H221" i="5"/>
  <c r="H219" i="5"/>
  <c r="H217" i="5"/>
  <c r="H215" i="5"/>
  <c r="H214" i="5" s="1"/>
  <c r="H211" i="5"/>
  <c r="H210" i="5" s="1"/>
  <c r="H206" i="5"/>
  <c r="H203" i="5"/>
  <c r="H201" i="5"/>
  <c r="H198" i="5"/>
  <c r="H196" i="5"/>
  <c r="H195" i="5" s="1"/>
  <c r="H193" i="5"/>
  <c r="H192" i="5"/>
  <c r="H188" i="5"/>
  <c r="H186" i="5"/>
  <c r="H185" i="5" s="1"/>
  <c r="H182" i="5"/>
  <c r="H181" i="5"/>
  <c r="H180" i="5"/>
  <c r="H179" i="5"/>
  <c r="H176" i="5"/>
  <c r="H172" i="5"/>
  <c r="H170" i="5"/>
  <c r="H164" i="5"/>
  <c r="H161" i="5"/>
  <c r="H160" i="5" s="1"/>
  <c r="H158" i="5"/>
  <c r="H153" i="5"/>
  <c r="H147" i="5"/>
  <c r="H139" i="5"/>
  <c r="H134" i="5"/>
  <c r="H133" i="5" s="1"/>
  <c r="H132" i="5"/>
  <c r="H131" i="5" s="1"/>
  <c r="H128" i="5"/>
  <c r="H127" i="5" s="1"/>
  <c r="H126" i="5"/>
  <c r="H124" i="5" s="1"/>
  <c r="H122" i="5"/>
  <c r="H120" i="5"/>
  <c r="H118" i="5"/>
  <c r="H117" i="5" s="1"/>
  <c r="H115" i="5"/>
  <c r="H110" i="5"/>
  <c r="H108" i="5"/>
  <c r="H105" i="5"/>
  <c r="H103" i="5"/>
  <c r="H102" i="5"/>
  <c r="H101" i="5"/>
  <c r="H100" i="5"/>
  <c r="H94" i="5"/>
  <c r="H93" i="5"/>
  <c r="H92" i="5" s="1"/>
  <c r="H91" i="5"/>
  <c r="H90" i="5" s="1"/>
  <c r="H89" i="5"/>
  <c r="H88" i="5" s="1"/>
  <c r="H85" i="5"/>
  <c r="H82" i="5"/>
  <c r="H81" i="5"/>
  <c r="H80" i="5"/>
  <c r="H79" i="5"/>
  <c r="H74" i="5"/>
  <c r="H73" i="5" s="1"/>
  <c r="H70" i="5"/>
  <c r="H69" i="5" s="1"/>
  <c r="H66" i="5"/>
  <c r="H65" i="5"/>
  <c r="H64" i="5" s="1"/>
  <c r="H61" i="5"/>
  <c r="H60" i="5" s="1"/>
  <c r="H57" i="5"/>
  <c r="H55" i="5" s="1"/>
  <c r="H50" i="5"/>
  <c r="H49" i="5"/>
  <c r="H48" i="5"/>
  <c r="H46" i="5"/>
  <c r="H45" i="5" s="1"/>
  <c r="H43" i="5"/>
  <c r="H42" i="5"/>
  <c r="H41" i="5"/>
  <c r="H40" i="5"/>
  <c r="H39" i="5"/>
  <c r="H34" i="5"/>
  <c r="H33" i="5" s="1"/>
  <c r="H31" i="5"/>
  <c r="H30" i="5"/>
  <c r="H29" i="5"/>
  <c r="H28" i="5"/>
  <c r="H24" i="5"/>
  <c r="H23" i="5"/>
  <c r="H22" i="5" s="1"/>
  <c r="H20" i="5"/>
  <c r="H19" i="5" s="1"/>
  <c r="H18" i="5" s="1"/>
  <c r="H395" i="5" l="1"/>
  <c r="H417" i="5"/>
  <c r="H312" i="5"/>
  <c r="H454" i="5"/>
  <c r="H391" i="5"/>
  <c r="H373" i="5"/>
  <c r="H356" i="5"/>
  <c r="H38" i="5"/>
  <c r="H47" i="5"/>
  <c r="H87" i="5"/>
  <c r="H104" i="5"/>
  <c r="H191" i="5"/>
  <c r="H190" i="5" s="1"/>
  <c r="H194" i="5"/>
  <c r="H213" i="5"/>
  <c r="H238" i="5"/>
  <c r="H239" i="5"/>
  <c r="H287" i="5"/>
  <c r="H284" i="5"/>
  <c r="H258" i="5"/>
  <c r="H250" i="5"/>
  <c r="H253" i="5"/>
  <c r="H157" i="5"/>
  <c r="H377" i="5"/>
  <c r="H447" i="5"/>
  <c r="H492" i="5"/>
  <c r="H138" i="5"/>
  <c r="H169" i="5"/>
  <c r="H149" i="5" s="1"/>
  <c r="H578" i="5"/>
  <c r="H200" i="5"/>
  <c r="H473" i="5"/>
  <c r="H209" i="5"/>
  <c r="H577" i="5"/>
  <c r="H570" i="5"/>
  <c r="H301" i="5"/>
  <c r="H300" i="5"/>
  <c r="H482" i="5"/>
  <c r="H481" i="5"/>
  <c r="H32" i="5"/>
  <c r="H336" i="5"/>
  <c r="H335" i="5"/>
  <c r="H420" i="5"/>
  <c r="H63" i="5"/>
  <c r="H437" i="5"/>
  <c r="H27" i="5"/>
  <c r="H21" i="5" s="1"/>
  <c r="H54" i="5"/>
  <c r="H78" i="5"/>
  <c r="H99" i="5"/>
  <c r="H178" i="5"/>
  <c r="H174" i="5" s="1"/>
  <c r="H304" i="5"/>
  <c r="H491" i="5"/>
  <c r="H77" i="5"/>
  <c r="H163" i="5"/>
  <c r="H309" i="5"/>
  <c r="H308" i="5"/>
  <c r="H330" i="5"/>
  <c r="H376" i="5"/>
  <c r="H512" i="5"/>
  <c r="H513" i="5"/>
  <c r="J193" i="5"/>
  <c r="J192" i="5"/>
  <c r="H136" i="5" l="1"/>
  <c r="H137" i="5"/>
  <c r="I137" i="5"/>
  <c r="I138" i="5"/>
  <c r="H68" i="5"/>
  <c r="H17" i="5" s="1"/>
  <c r="H175" i="5"/>
  <c r="H394" i="5"/>
  <c r="H326" i="5"/>
  <c r="H594" i="5" l="1"/>
  <c r="J584" i="5"/>
  <c r="J191" i="5" l="1"/>
  <c r="J317" i="5"/>
  <c r="J316" i="5" s="1"/>
  <c r="J433" i="5"/>
  <c r="J118" i="5" l="1"/>
  <c r="I118" i="5" s="1"/>
  <c r="J117" i="5" l="1"/>
  <c r="I117" i="5" s="1"/>
  <c r="J201" i="5" l="1"/>
  <c r="J591" i="5"/>
  <c r="I591" i="5" s="1"/>
  <c r="J589" i="5"/>
  <c r="I589" i="5" s="1"/>
  <c r="J587" i="5"/>
  <c r="I587" i="5" s="1"/>
  <c r="J585" i="5"/>
  <c r="I585" i="5" s="1"/>
  <c r="J581" i="5"/>
  <c r="I581" i="5" s="1"/>
  <c r="J579" i="5"/>
  <c r="I579" i="5" s="1"/>
  <c r="J528" i="5"/>
  <c r="J527" i="5" s="1"/>
  <c r="J460" i="5"/>
  <c r="J290" i="5"/>
  <c r="J264" i="5"/>
  <c r="J263" i="5" s="1"/>
  <c r="J20" i="5"/>
  <c r="J19" i="5" s="1"/>
  <c r="J18" i="5" s="1"/>
  <c r="J23" i="5"/>
  <c r="J22" i="5" s="1"/>
  <c r="J24" i="5"/>
  <c r="J28" i="5"/>
  <c r="J30" i="5"/>
  <c r="J34" i="5"/>
  <c r="J39" i="5"/>
  <c r="J40" i="5"/>
  <c r="J41" i="5"/>
  <c r="J42" i="5"/>
  <c r="J43" i="5"/>
  <c r="J46" i="5"/>
  <c r="J45" i="5" s="1"/>
  <c r="J48" i="5"/>
  <c r="J49" i="5"/>
  <c r="J50" i="5"/>
  <c r="J57" i="5"/>
  <c r="J55" i="5" s="1"/>
  <c r="J54" i="5" s="1"/>
  <c r="J61" i="5"/>
  <c r="J60" i="5" s="1"/>
  <c r="J64" i="5"/>
  <c r="J66" i="5"/>
  <c r="J70" i="5"/>
  <c r="J69" i="5" s="1"/>
  <c r="J74" i="5"/>
  <c r="J73" i="5" s="1"/>
  <c r="J79" i="5"/>
  <c r="J80" i="5"/>
  <c r="J81" i="5"/>
  <c r="J82" i="5"/>
  <c r="J85" i="5"/>
  <c r="J89" i="5"/>
  <c r="J88" i="5" s="1"/>
  <c r="J91" i="5"/>
  <c r="J90" i="5" s="1"/>
  <c r="J93" i="5"/>
  <c r="J92" i="5" s="1"/>
  <c r="J94" i="5"/>
  <c r="J100" i="5"/>
  <c r="J105" i="5"/>
  <c r="J108" i="5"/>
  <c r="J110" i="5"/>
  <c r="J115" i="5"/>
  <c r="J120" i="5"/>
  <c r="J122" i="5"/>
  <c r="J124" i="5"/>
  <c r="J128" i="5"/>
  <c r="J127" i="5" s="1"/>
  <c r="J132" i="5"/>
  <c r="J131" i="5" s="1"/>
  <c r="J134" i="5"/>
  <c r="J147" i="5"/>
  <c r="J153" i="5"/>
  <c r="J158" i="5"/>
  <c r="I158" i="5" s="1"/>
  <c r="J161" i="5"/>
  <c r="J160" i="5" s="1"/>
  <c r="J164" i="5"/>
  <c r="J176" i="5"/>
  <c r="J179" i="5"/>
  <c r="J180" i="5"/>
  <c r="J181" i="5"/>
  <c r="J182" i="5"/>
  <c r="J186" i="5"/>
  <c r="J185" i="5" s="1"/>
  <c r="J188" i="5"/>
  <c r="J190" i="5"/>
  <c r="J196" i="5"/>
  <c r="J198" i="5"/>
  <c r="J203" i="5"/>
  <c r="J206" i="5"/>
  <c r="J211" i="5"/>
  <c r="J215" i="5"/>
  <c r="J214" i="5" s="1"/>
  <c r="J217" i="5"/>
  <c r="J219" i="5"/>
  <c r="J221" i="5"/>
  <c r="J224" i="5"/>
  <c r="J226" i="5"/>
  <c r="J229" i="5"/>
  <c r="J231" i="5"/>
  <c r="I231" i="5" s="1"/>
  <c r="J233" i="5"/>
  <c r="J236" i="5"/>
  <c r="J235" i="5" s="1"/>
  <c r="J240" i="5"/>
  <c r="J238" i="5" s="1"/>
  <c r="J243" i="5"/>
  <c r="J254" i="5"/>
  <c r="J256" i="5"/>
  <c r="J259" i="5"/>
  <c r="I259" i="5" s="1"/>
  <c r="J268" i="5"/>
  <c r="J282" i="5"/>
  <c r="J281" i="5" s="1"/>
  <c r="J288" i="5"/>
  <c r="J292" i="5"/>
  <c r="J294" i="5"/>
  <c r="J298" i="5"/>
  <c r="J303" i="5"/>
  <c r="J302" i="5" s="1"/>
  <c r="J306" i="5"/>
  <c r="J304" i="5" s="1"/>
  <c r="J310" i="5"/>
  <c r="J314" i="5"/>
  <c r="J312" i="5" s="1"/>
  <c r="J321" i="5"/>
  <c r="J320" i="5" s="1"/>
  <c r="J324" i="5"/>
  <c r="J323" i="5" s="1"/>
  <c r="J332" i="5"/>
  <c r="J331" i="5" s="1"/>
  <c r="J333" i="5"/>
  <c r="J338" i="5"/>
  <c r="J339" i="5"/>
  <c r="J344" i="5"/>
  <c r="J343" i="5" s="1"/>
  <c r="J342" i="5" s="1"/>
  <c r="J353" i="5"/>
  <c r="J352" i="5" s="1"/>
  <c r="J357" i="5"/>
  <c r="J361" i="5"/>
  <c r="J371" i="5"/>
  <c r="J370" i="5" s="1"/>
  <c r="J363" i="5"/>
  <c r="J378" i="5"/>
  <c r="J379" i="5"/>
  <c r="J380" i="5"/>
  <c r="J381" i="5"/>
  <c r="J385" i="5"/>
  <c r="J384" i="5" s="1"/>
  <c r="J387" i="5"/>
  <c r="J386" i="5" s="1"/>
  <c r="J392" i="5"/>
  <c r="J397" i="5"/>
  <c r="I397" i="5" s="1"/>
  <c r="J401" i="5"/>
  <c r="J403" i="5"/>
  <c r="J405" i="5"/>
  <c r="J407" i="5"/>
  <c r="J410" i="5"/>
  <c r="J412" i="5"/>
  <c r="J424" i="5"/>
  <c r="J426" i="5"/>
  <c r="J428" i="5"/>
  <c r="J430" i="5"/>
  <c r="J438" i="5"/>
  <c r="I438" i="5" s="1"/>
  <c r="J441" i="5"/>
  <c r="J445" i="5"/>
  <c r="J448" i="5"/>
  <c r="J450" i="5"/>
  <c r="J452" i="5"/>
  <c r="J455" i="5"/>
  <c r="I455" i="5" s="1"/>
  <c r="J465" i="5"/>
  <c r="J471" i="5"/>
  <c r="J475" i="5"/>
  <c r="J484" i="5"/>
  <c r="J483" i="5" s="1"/>
  <c r="I483" i="5" s="1"/>
  <c r="J486" i="5"/>
  <c r="I486" i="5" s="1"/>
  <c r="J488" i="5"/>
  <c r="J494" i="5"/>
  <c r="J493" i="5" s="1"/>
  <c r="J496" i="5"/>
  <c r="J497" i="5"/>
  <c r="J503" i="5"/>
  <c r="J502" i="5" s="1"/>
  <c r="J505" i="5"/>
  <c r="J508" i="5"/>
  <c r="J507" i="5" s="1"/>
  <c r="J515" i="5"/>
  <c r="J514" i="5" s="1"/>
  <c r="J517" i="5"/>
  <c r="J518" i="5"/>
  <c r="J519" i="5"/>
  <c r="J520" i="5"/>
  <c r="J525" i="5"/>
  <c r="J524" i="5" s="1"/>
  <c r="J531" i="5"/>
  <c r="J530" i="5" s="1"/>
  <c r="J538" i="5"/>
  <c r="J546" i="5"/>
  <c r="I549" i="5"/>
  <c r="I554" i="5"/>
  <c r="J568" i="5"/>
  <c r="J566" i="5" s="1"/>
  <c r="J572" i="5"/>
  <c r="J575" i="5"/>
  <c r="J574" i="5" s="1"/>
  <c r="J583" i="5"/>
  <c r="I546" i="5" l="1"/>
  <c r="J544" i="5"/>
  <c r="J511" i="5" s="1"/>
  <c r="J545" i="5"/>
  <c r="I545" i="5" s="1"/>
  <c r="J537" i="5"/>
  <c r="I537" i="5" s="1"/>
  <c r="I538" i="5"/>
  <c r="J470" i="5"/>
  <c r="I470" i="5" s="1"/>
  <c r="I471" i="5"/>
  <c r="I357" i="5"/>
  <c r="J341" i="5"/>
  <c r="J474" i="5"/>
  <c r="I474" i="5" s="1"/>
  <c r="I475" i="5"/>
  <c r="I505" i="5"/>
  <c r="J504" i="5"/>
  <c r="I504" i="5" s="1"/>
  <c r="J464" i="5"/>
  <c r="I464" i="5" s="1"/>
  <c r="I465" i="5"/>
  <c r="J395" i="5"/>
  <c r="J209" i="5"/>
  <c r="I209" i="5" s="1"/>
  <c r="I211" i="5"/>
  <c r="J297" i="5"/>
  <c r="I297" i="5" s="1"/>
  <c r="I298" i="5"/>
  <c r="I147" i="5"/>
  <c r="J136" i="5"/>
  <c r="J133" i="5"/>
  <c r="I133" i="5" s="1"/>
  <c r="I134" i="5"/>
  <c r="J33" i="5"/>
  <c r="I33" i="5" s="1"/>
  <c r="I34" i="5"/>
  <c r="J577" i="5"/>
  <c r="I577" i="5" s="1"/>
  <c r="J417" i="5"/>
  <c r="I417" i="5" s="1"/>
  <c r="J454" i="5"/>
  <c r="I454" i="5" s="1"/>
  <c r="J391" i="5"/>
  <c r="J373" i="5"/>
  <c r="I373" i="5" s="1"/>
  <c r="J356" i="5"/>
  <c r="I356" i="5" s="1"/>
  <c r="I341" i="5"/>
  <c r="J213" i="5"/>
  <c r="I213" i="5" s="1"/>
  <c r="J327" i="5"/>
  <c r="J287" i="5"/>
  <c r="J284" i="5"/>
  <c r="J258" i="5"/>
  <c r="I258" i="5" s="1"/>
  <c r="J250" i="5"/>
  <c r="I250" i="5" s="1"/>
  <c r="J200" i="5"/>
  <c r="J194" i="5"/>
  <c r="J578" i="5"/>
  <c r="I578" i="5" s="1"/>
  <c r="J319" i="5"/>
  <c r="J223" i="5"/>
  <c r="J473" i="5"/>
  <c r="I473" i="5" s="1"/>
  <c r="J253" i="5"/>
  <c r="J570" i="5"/>
  <c r="J437" i="5"/>
  <c r="I437" i="5" s="1"/>
  <c r="J360" i="5"/>
  <c r="J359" i="5" s="1"/>
  <c r="J482" i="5"/>
  <c r="I482" i="5" s="1"/>
  <c r="J447" i="5"/>
  <c r="J337" i="5"/>
  <c r="J336" i="5" s="1"/>
  <c r="J267" i="5"/>
  <c r="J266" i="5" s="1"/>
  <c r="J169" i="5"/>
  <c r="J78" i="5"/>
  <c r="J47" i="5"/>
  <c r="I47" i="5" s="1"/>
  <c r="J38" i="5"/>
  <c r="J27" i="5"/>
  <c r="J21" i="5" s="1"/>
  <c r="J516" i="5"/>
  <c r="J512" i="5" s="1"/>
  <c r="J495" i="5"/>
  <c r="J377" i="5"/>
  <c r="J376" i="5" s="1"/>
  <c r="J178" i="5"/>
  <c r="I136" i="5"/>
  <c r="J104" i="5"/>
  <c r="J99" i="5"/>
  <c r="J523" i="5"/>
  <c r="J513" i="5"/>
  <c r="J481" i="5"/>
  <c r="I481" i="5" s="1"/>
  <c r="J396" i="5"/>
  <c r="I396" i="5" s="1"/>
  <c r="J420" i="5"/>
  <c r="I420" i="5" s="1"/>
  <c r="J571" i="5"/>
  <c r="J567" i="5"/>
  <c r="J477" i="5"/>
  <c r="J330" i="5"/>
  <c r="J308" i="5"/>
  <c r="J309" i="5"/>
  <c r="J300" i="5"/>
  <c r="J301" i="5"/>
  <c r="J239" i="5"/>
  <c r="J313" i="5"/>
  <c r="J305" i="5"/>
  <c r="J280" i="5"/>
  <c r="J228" i="5"/>
  <c r="I228" i="5" s="1"/>
  <c r="J175" i="5"/>
  <c r="J174" i="5"/>
  <c r="J87" i="5"/>
  <c r="J32" i="5"/>
  <c r="I32" i="5" s="1"/>
  <c r="J210" i="5"/>
  <c r="I210" i="5" s="1"/>
  <c r="J163" i="5"/>
  <c r="I163" i="5" s="1"/>
  <c r="J77" i="5"/>
  <c r="J63" i="5"/>
  <c r="J195" i="5"/>
  <c r="J157" i="5"/>
  <c r="I157" i="5" s="1"/>
  <c r="I544" i="5" l="1"/>
  <c r="J491" i="5"/>
  <c r="I491" i="5" s="1"/>
  <c r="I495" i="5"/>
  <c r="J149" i="5"/>
  <c r="I149" i="5" s="1"/>
  <c r="I169" i="5"/>
  <c r="J326" i="5"/>
  <c r="I326" i="5" s="1"/>
  <c r="J335" i="5"/>
  <c r="J492" i="5"/>
  <c r="I492" i="5" s="1"/>
  <c r="J68" i="5"/>
  <c r="J394" i="5"/>
  <c r="J17" i="5" l="1"/>
  <c r="I68" i="5"/>
  <c r="I596" i="5"/>
  <c r="I510" i="5" l="1"/>
  <c r="I393" i="5"/>
  <c r="I390" i="5"/>
  <c r="I389" i="5"/>
  <c r="H445" i="7" l="1"/>
  <c r="S442" i="7"/>
  <c r="O442" i="7"/>
  <c r="P442" i="7" s="1"/>
  <c r="F442" i="7"/>
  <c r="G442" i="7" s="1"/>
  <c r="S441" i="7"/>
  <c r="P441" i="7"/>
  <c r="G441" i="7"/>
  <c r="T440" i="7"/>
  <c r="S440" i="7" s="1"/>
  <c r="R440" i="7"/>
  <c r="Q440" i="7"/>
  <c r="P440" i="7"/>
  <c r="O440" i="7"/>
  <c r="H440" i="7"/>
  <c r="G440" i="7" s="1"/>
  <c r="F440" i="7"/>
  <c r="T439" i="7"/>
  <c r="S439" i="7"/>
  <c r="R439" i="7"/>
  <c r="Q439" i="7"/>
  <c r="P439" i="7" s="1"/>
  <c r="O439" i="7"/>
  <c r="H439" i="7"/>
  <c r="G439" i="7"/>
  <c r="F439" i="7"/>
  <c r="T438" i="7"/>
  <c r="S438" i="7" s="1"/>
  <c r="R438" i="7"/>
  <c r="Q438" i="7"/>
  <c r="P438" i="7" s="1"/>
  <c r="O438" i="7"/>
  <c r="H438" i="7"/>
  <c r="G438" i="7" s="1"/>
  <c r="F438" i="7"/>
  <c r="S437" i="7"/>
  <c r="P437" i="7"/>
  <c r="G437" i="7"/>
  <c r="T436" i="7"/>
  <c r="S436" i="7"/>
  <c r="R436" i="7"/>
  <c r="Q436" i="7"/>
  <c r="P436" i="7" s="1"/>
  <c r="O436" i="7"/>
  <c r="H436" i="7"/>
  <c r="G436" i="7"/>
  <c r="F436" i="7"/>
  <c r="T435" i="7"/>
  <c r="S435" i="7" s="1"/>
  <c r="R435" i="7"/>
  <c r="Q435" i="7"/>
  <c r="P435" i="7"/>
  <c r="O435" i="7"/>
  <c r="H435" i="7"/>
  <c r="G435" i="7" s="1"/>
  <c r="F435" i="7"/>
  <c r="S434" i="7"/>
  <c r="P434" i="7"/>
  <c r="G434" i="7"/>
  <c r="T433" i="7"/>
  <c r="S433" i="7" s="1"/>
  <c r="R433" i="7"/>
  <c r="Q433" i="7"/>
  <c r="P433" i="7"/>
  <c r="O433" i="7"/>
  <c r="H433" i="7"/>
  <c r="G433" i="7" s="1"/>
  <c r="F433" i="7"/>
  <c r="T432" i="7"/>
  <c r="S432" i="7"/>
  <c r="R432" i="7"/>
  <c r="Q432" i="7"/>
  <c r="P432" i="7" s="1"/>
  <c r="O432" i="7"/>
  <c r="H432" i="7"/>
  <c r="G432" i="7"/>
  <c r="F432" i="7"/>
  <c r="T431" i="7"/>
  <c r="S431" i="7" s="1"/>
  <c r="R431" i="7"/>
  <c r="Q431" i="7"/>
  <c r="P431" i="7"/>
  <c r="O431" i="7"/>
  <c r="H431" i="7"/>
  <c r="G431" i="7" s="1"/>
  <c r="F431" i="7"/>
  <c r="S430" i="7"/>
  <c r="P430" i="7"/>
  <c r="G430" i="7"/>
  <c r="T429" i="7"/>
  <c r="S429" i="7" s="1"/>
  <c r="R429" i="7"/>
  <c r="Q429" i="7"/>
  <c r="P429" i="7"/>
  <c r="O429" i="7"/>
  <c r="H429" i="7"/>
  <c r="G429" i="7" s="1"/>
  <c r="F429" i="7"/>
  <c r="F428" i="7" s="1"/>
  <c r="T428" i="7"/>
  <c r="S428" i="7"/>
  <c r="R428" i="7"/>
  <c r="Q428" i="7"/>
  <c r="P428" i="7" s="1"/>
  <c r="O428" i="7"/>
  <c r="T427" i="7"/>
  <c r="S427" i="7" s="1"/>
  <c r="R427" i="7"/>
  <c r="Q427" i="7"/>
  <c r="P427" i="7"/>
  <c r="O427" i="7"/>
  <c r="H427" i="7"/>
  <c r="G427" i="7" s="1"/>
  <c r="F427" i="7"/>
  <c r="S426" i="7"/>
  <c r="P426" i="7"/>
  <c r="G426" i="7"/>
  <c r="T425" i="7"/>
  <c r="S425" i="7" s="1"/>
  <c r="R425" i="7"/>
  <c r="Q425" i="7"/>
  <c r="P425" i="7"/>
  <c r="O425" i="7"/>
  <c r="H425" i="7"/>
  <c r="G425" i="7" s="1"/>
  <c r="F425" i="7"/>
  <c r="S424" i="7"/>
  <c r="P424" i="7"/>
  <c r="G424" i="7"/>
  <c r="T423" i="7"/>
  <c r="S423" i="7" s="1"/>
  <c r="R423" i="7"/>
  <c r="Q423" i="7"/>
  <c r="P423" i="7"/>
  <c r="O423" i="7"/>
  <c r="H423" i="7"/>
  <c r="G423" i="7" s="1"/>
  <c r="F423" i="7"/>
  <c r="S422" i="7"/>
  <c r="P422" i="7"/>
  <c r="G422" i="7"/>
  <c r="T421" i="7"/>
  <c r="S421" i="7" s="1"/>
  <c r="R421" i="7"/>
  <c r="R420" i="7" s="1"/>
  <c r="Q421" i="7"/>
  <c r="P421" i="7"/>
  <c r="O421" i="7"/>
  <c r="H421" i="7"/>
  <c r="G421" i="7" s="1"/>
  <c r="F421" i="7"/>
  <c r="F420" i="7" s="1"/>
  <c r="Q420" i="7"/>
  <c r="P420" i="7" s="1"/>
  <c r="O420" i="7"/>
  <c r="S419" i="7"/>
  <c r="P419" i="7"/>
  <c r="G419" i="7"/>
  <c r="R418" i="7"/>
  <c r="S418" i="7" s="1"/>
  <c r="Q418" i="7"/>
  <c r="P418" i="7"/>
  <c r="O418" i="7"/>
  <c r="H418" i="7"/>
  <c r="G418" i="7" s="1"/>
  <c r="F418" i="7"/>
  <c r="R417" i="7"/>
  <c r="S417" i="7" s="1"/>
  <c r="Q417" i="7"/>
  <c r="P417" i="7"/>
  <c r="O417" i="7"/>
  <c r="H417" i="7"/>
  <c r="G417" i="7" s="1"/>
  <c r="F417" i="7"/>
  <c r="S416" i="7"/>
  <c r="P416" i="7"/>
  <c r="G416" i="7"/>
  <c r="T415" i="7"/>
  <c r="S415" i="7" s="1"/>
  <c r="R415" i="7"/>
  <c r="R414" i="7" s="1"/>
  <c r="Q415" i="7"/>
  <c r="P415" i="7"/>
  <c r="O415" i="7"/>
  <c r="H415" i="7"/>
  <c r="G415" i="7" s="1"/>
  <c r="F415" i="7"/>
  <c r="F414" i="7" s="1"/>
  <c r="Q414" i="7"/>
  <c r="P414" i="7" s="1"/>
  <c r="O414" i="7"/>
  <c r="S413" i="7"/>
  <c r="P413" i="7"/>
  <c r="G413" i="7"/>
  <c r="R412" i="7"/>
  <c r="S412" i="7" s="1"/>
  <c r="Q412" i="7"/>
  <c r="P412" i="7"/>
  <c r="H412" i="7"/>
  <c r="G412" i="7"/>
  <c r="T411" i="7"/>
  <c r="Q411" i="7"/>
  <c r="P411" i="7" s="1"/>
  <c r="O411" i="7"/>
  <c r="O410" i="7" s="1"/>
  <c r="H411" i="7"/>
  <c r="G411" i="7"/>
  <c r="F411" i="7"/>
  <c r="T410" i="7"/>
  <c r="H410" i="7"/>
  <c r="G410" i="7" s="1"/>
  <c r="F410" i="7"/>
  <c r="T409" i="7"/>
  <c r="Q409" i="7"/>
  <c r="P409" i="7" s="1"/>
  <c r="O409" i="7"/>
  <c r="H409" i="7"/>
  <c r="G409" i="7"/>
  <c r="F409" i="7"/>
  <c r="S408" i="7"/>
  <c r="P408" i="7"/>
  <c r="G408" i="7"/>
  <c r="S407" i="7"/>
  <c r="P407" i="7"/>
  <c r="G407" i="7"/>
  <c r="S406" i="7"/>
  <c r="R406" i="7"/>
  <c r="Q406" i="7"/>
  <c r="P406" i="7" s="1"/>
  <c r="H406" i="7"/>
  <c r="G406" i="7" s="1"/>
  <c r="S405" i="7"/>
  <c r="R405" i="7"/>
  <c r="Q405" i="7"/>
  <c r="P405" i="7" s="1"/>
  <c r="H405" i="7"/>
  <c r="G405" i="7" s="1"/>
  <c r="S404" i="7"/>
  <c r="R404" i="7"/>
  <c r="Q404" i="7"/>
  <c r="P404" i="7" s="1"/>
  <c r="H404" i="7"/>
  <c r="G404" i="7" s="1"/>
  <c r="S403" i="7"/>
  <c r="R403" i="7"/>
  <c r="Q403" i="7"/>
  <c r="P403" i="7" s="1"/>
  <c r="H403" i="7"/>
  <c r="G403" i="7" s="1"/>
  <c r="T402" i="7"/>
  <c r="S402" i="7" s="1"/>
  <c r="R402" i="7"/>
  <c r="R399" i="7" s="1"/>
  <c r="O402" i="7"/>
  <c r="H402" i="7"/>
  <c r="G402" i="7" s="1"/>
  <c r="F402" i="7"/>
  <c r="F399" i="7" s="1"/>
  <c r="R401" i="7"/>
  <c r="Q401" i="7"/>
  <c r="P401" i="7" s="1"/>
  <c r="O401" i="7"/>
  <c r="O400" i="7" s="1"/>
  <c r="H401" i="7"/>
  <c r="G401" i="7"/>
  <c r="F401" i="7"/>
  <c r="R400" i="7"/>
  <c r="H400" i="7"/>
  <c r="G400" i="7" s="1"/>
  <c r="F400" i="7"/>
  <c r="O399" i="7"/>
  <c r="T398" i="7"/>
  <c r="S398" i="7" s="1"/>
  <c r="R398" i="7"/>
  <c r="O398" i="7"/>
  <c r="H398" i="7"/>
  <c r="F398" i="7"/>
  <c r="F397" i="7" s="1"/>
  <c r="O397" i="7"/>
  <c r="S396" i="7"/>
  <c r="P396" i="7"/>
  <c r="G396" i="7"/>
  <c r="T394" i="7"/>
  <c r="S394" i="7"/>
  <c r="R394" i="7"/>
  <c r="Q394" i="7"/>
  <c r="O394" i="7"/>
  <c r="O393" i="7" s="1"/>
  <c r="H394" i="7"/>
  <c r="G394" i="7"/>
  <c r="F394" i="7"/>
  <c r="T393" i="7"/>
  <c r="R393" i="7"/>
  <c r="H393" i="7"/>
  <c r="G393" i="7" s="1"/>
  <c r="F393" i="7"/>
  <c r="S392" i="7"/>
  <c r="P392" i="7"/>
  <c r="G392" i="7"/>
  <c r="T391" i="7"/>
  <c r="S391" i="7" s="1"/>
  <c r="R391" i="7"/>
  <c r="Q391" i="7"/>
  <c r="P391" i="7"/>
  <c r="O391" i="7"/>
  <c r="H391" i="7"/>
  <c r="G391" i="7" s="1"/>
  <c r="F391" i="7"/>
  <c r="R390" i="7"/>
  <c r="Q390" i="7"/>
  <c r="P390" i="7" s="1"/>
  <c r="H390" i="7"/>
  <c r="G390" i="7" s="1"/>
  <c r="T389" i="7"/>
  <c r="S389" i="7" s="1"/>
  <c r="R389" i="7"/>
  <c r="O389" i="7"/>
  <c r="H389" i="7"/>
  <c r="G389" i="7" s="1"/>
  <c r="F389" i="7"/>
  <c r="P388" i="7"/>
  <c r="G388" i="7"/>
  <c r="O387" i="7"/>
  <c r="P387" i="7" s="1"/>
  <c r="F387" i="7"/>
  <c r="G387" i="7" s="1"/>
  <c r="Q386" i="7"/>
  <c r="P386" i="7"/>
  <c r="H386" i="7"/>
  <c r="G386" i="7"/>
  <c r="Q385" i="7"/>
  <c r="P385" i="7"/>
  <c r="H385" i="7"/>
  <c r="G385" i="7"/>
  <c r="Q384" i="7"/>
  <c r="P384" i="7"/>
  <c r="H384" i="7"/>
  <c r="G384" i="7"/>
  <c r="R383" i="7"/>
  <c r="S383" i="7" s="1"/>
  <c r="Q383" i="7"/>
  <c r="P383" i="7"/>
  <c r="O383" i="7"/>
  <c r="H383" i="7"/>
  <c r="G383" i="7" s="1"/>
  <c r="F383" i="7"/>
  <c r="F382" i="7" s="1"/>
  <c r="F378" i="7" s="1"/>
  <c r="T382" i="7"/>
  <c r="Q382" i="7"/>
  <c r="P382" i="7" s="1"/>
  <c r="O382" i="7"/>
  <c r="S381" i="7"/>
  <c r="R381" i="7"/>
  <c r="Q381" i="7"/>
  <c r="P381" i="7" s="1"/>
  <c r="O381" i="7"/>
  <c r="O380" i="7" s="1"/>
  <c r="H381" i="7"/>
  <c r="G381" i="7"/>
  <c r="F381" i="7"/>
  <c r="T380" i="7"/>
  <c r="S380" i="7" s="1"/>
  <c r="R380" i="7"/>
  <c r="H380" i="7"/>
  <c r="G380" i="7" s="1"/>
  <c r="F380" i="7"/>
  <c r="F379" i="7" s="1"/>
  <c r="T378" i="7"/>
  <c r="S377" i="7"/>
  <c r="P377" i="7"/>
  <c r="G377" i="7"/>
  <c r="T375" i="7"/>
  <c r="S375" i="7" s="1"/>
  <c r="R375" i="7"/>
  <c r="Q375" i="7"/>
  <c r="P375" i="7"/>
  <c r="O375" i="7"/>
  <c r="H375" i="7"/>
  <c r="G375" i="7" s="1"/>
  <c r="F375" i="7"/>
  <c r="R374" i="7"/>
  <c r="S374" i="7" s="1"/>
  <c r="Q374" i="7"/>
  <c r="P374" i="7"/>
  <c r="H374" i="7"/>
  <c r="G374" i="7"/>
  <c r="T373" i="7"/>
  <c r="Q373" i="7"/>
  <c r="P373" i="7" s="1"/>
  <c r="O373" i="7"/>
  <c r="H373" i="7"/>
  <c r="G373" i="7"/>
  <c r="F373" i="7"/>
  <c r="S372" i="7"/>
  <c r="P372" i="7"/>
  <c r="G372" i="7"/>
  <c r="T371" i="7"/>
  <c r="S371" i="7"/>
  <c r="R371" i="7"/>
  <c r="Q371" i="7"/>
  <c r="P371" i="7" s="1"/>
  <c r="O371" i="7"/>
  <c r="O370" i="7" s="1"/>
  <c r="H371" i="7"/>
  <c r="G371" i="7"/>
  <c r="F371" i="7"/>
  <c r="T370" i="7"/>
  <c r="H370" i="7"/>
  <c r="G370" i="7" s="1"/>
  <c r="F370" i="7"/>
  <c r="T369" i="7"/>
  <c r="Q369" i="7"/>
  <c r="P369" i="7" s="1"/>
  <c r="O369" i="7"/>
  <c r="H369" i="7"/>
  <c r="G369" i="7"/>
  <c r="F369" i="7"/>
  <c r="S368" i="7"/>
  <c r="P368" i="7"/>
  <c r="G368" i="7"/>
  <c r="T367" i="7"/>
  <c r="S367" i="7"/>
  <c r="R367" i="7"/>
  <c r="Q367" i="7"/>
  <c r="P367" i="7" s="1"/>
  <c r="O367" i="7"/>
  <c r="O366" i="7" s="1"/>
  <c r="H367" i="7"/>
  <c r="G367" i="7"/>
  <c r="F367" i="7"/>
  <c r="T366" i="7"/>
  <c r="S366" i="7" s="1"/>
  <c r="R366" i="7"/>
  <c r="H366" i="7"/>
  <c r="G366" i="7" s="1"/>
  <c r="F366" i="7"/>
  <c r="S365" i="7"/>
  <c r="P365" i="7"/>
  <c r="G365" i="7"/>
  <c r="T364" i="7"/>
  <c r="S364" i="7" s="1"/>
  <c r="R364" i="7"/>
  <c r="R363" i="7" s="1"/>
  <c r="Q364" i="7"/>
  <c r="P364" i="7"/>
  <c r="O364" i="7"/>
  <c r="H364" i="7"/>
  <c r="G364" i="7" s="1"/>
  <c r="F364" i="7"/>
  <c r="F363" i="7" s="1"/>
  <c r="Q363" i="7"/>
  <c r="P363" i="7" s="1"/>
  <c r="O363" i="7"/>
  <c r="T362" i="7"/>
  <c r="S362" i="7" s="1"/>
  <c r="R362" i="7"/>
  <c r="Q362" i="7"/>
  <c r="P362" i="7"/>
  <c r="O362" i="7"/>
  <c r="H362" i="7"/>
  <c r="G362" i="7" s="1"/>
  <c r="F362" i="7"/>
  <c r="S361" i="7"/>
  <c r="P361" i="7"/>
  <c r="G361" i="7"/>
  <c r="T360" i="7"/>
  <c r="S360" i="7" s="1"/>
  <c r="R360" i="7"/>
  <c r="R359" i="7" s="1"/>
  <c r="Q360" i="7"/>
  <c r="P360" i="7"/>
  <c r="O360" i="7"/>
  <c r="H360" i="7"/>
  <c r="G360" i="7" s="1"/>
  <c r="F360" i="7"/>
  <c r="F359" i="7" s="1"/>
  <c r="Q359" i="7"/>
  <c r="P359" i="7" s="1"/>
  <c r="O359" i="7"/>
  <c r="S358" i="7"/>
  <c r="P358" i="7"/>
  <c r="G358" i="7"/>
  <c r="T357" i="7"/>
  <c r="S357" i="7"/>
  <c r="R357" i="7"/>
  <c r="Q357" i="7"/>
  <c r="P357" i="7" s="1"/>
  <c r="O357" i="7"/>
  <c r="H357" i="7"/>
  <c r="G357" i="7"/>
  <c r="F357" i="7"/>
  <c r="S356" i="7"/>
  <c r="P356" i="7"/>
  <c r="G356" i="7"/>
  <c r="T355" i="7"/>
  <c r="S355" i="7"/>
  <c r="R355" i="7"/>
  <c r="Q355" i="7"/>
  <c r="P355" i="7" s="1"/>
  <c r="O355" i="7"/>
  <c r="O354" i="7" s="1"/>
  <c r="H355" i="7"/>
  <c r="G355" i="7"/>
  <c r="F355" i="7"/>
  <c r="T354" i="7"/>
  <c r="S354" i="7" s="1"/>
  <c r="R354" i="7"/>
  <c r="H354" i="7"/>
  <c r="G354" i="7" s="1"/>
  <c r="F354" i="7"/>
  <c r="S353" i="7"/>
  <c r="P353" i="7"/>
  <c r="G353" i="7"/>
  <c r="T352" i="7"/>
  <c r="S352" i="7" s="1"/>
  <c r="R352" i="7"/>
  <c r="Q352" i="7"/>
  <c r="P352" i="7"/>
  <c r="O352" i="7"/>
  <c r="H352" i="7"/>
  <c r="G352" i="7" s="1"/>
  <c r="F352" i="7"/>
  <c r="R351" i="7"/>
  <c r="Q351" i="7"/>
  <c r="P351" i="7" s="1"/>
  <c r="O351" i="7"/>
  <c r="F351" i="7"/>
  <c r="S350" i="7"/>
  <c r="P350" i="7"/>
  <c r="G350" i="7"/>
  <c r="T349" i="7"/>
  <c r="S349" i="7"/>
  <c r="R349" i="7"/>
  <c r="Q349" i="7"/>
  <c r="P349" i="7" s="1"/>
  <c r="O349" i="7"/>
  <c r="H349" i="7"/>
  <c r="G349" i="7"/>
  <c r="F349" i="7"/>
  <c r="S348" i="7"/>
  <c r="R348" i="7"/>
  <c r="Q348" i="7"/>
  <c r="P348" i="7" s="1"/>
  <c r="O348" i="7"/>
  <c r="H348" i="7"/>
  <c r="G348" i="7"/>
  <c r="F348" i="7"/>
  <c r="T347" i="7"/>
  <c r="S347" i="7" s="1"/>
  <c r="R347" i="7"/>
  <c r="Q347" i="7"/>
  <c r="P347" i="7"/>
  <c r="O347" i="7"/>
  <c r="H347" i="7"/>
  <c r="G347" i="7" s="1"/>
  <c r="F347" i="7"/>
  <c r="S346" i="7"/>
  <c r="P346" i="7"/>
  <c r="G346" i="7"/>
  <c r="T345" i="7"/>
  <c r="S345" i="7" s="1"/>
  <c r="R345" i="7"/>
  <c r="Q345" i="7"/>
  <c r="P345" i="7"/>
  <c r="O345" i="7"/>
  <c r="H345" i="7"/>
  <c r="G345" i="7" s="1"/>
  <c r="F345" i="7"/>
  <c r="T344" i="7"/>
  <c r="S344" i="7" s="1"/>
  <c r="R344" i="7"/>
  <c r="Q344" i="7"/>
  <c r="P344" i="7"/>
  <c r="O344" i="7"/>
  <c r="H344" i="7"/>
  <c r="G344" i="7" s="1"/>
  <c r="F344" i="7"/>
  <c r="S343" i="7"/>
  <c r="P343" i="7"/>
  <c r="G343" i="7"/>
  <c r="T342" i="7"/>
  <c r="S342" i="7" s="1"/>
  <c r="R342" i="7"/>
  <c r="Q342" i="7"/>
  <c r="P342" i="7"/>
  <c r="O342" i="7"/>
  <c r="H342" i="7"/>
  <c r="G342" i="7" s="1"/>
  <c r="F342" i="7"/>
  <c r="S341" i="7"/>
  <c r="P341" i="7"/>
  <c r="G341" i="7"/>
  <c r="S340" i="7"/>
  <c r="O340" i="7"/>
  <c r="P340" i="7" s="1"/>
  <c r="F340" i="7"/>
  <c r="G340" i="7" s="1"/>
  <c r="S339" i="7"/>
  <c r="P339" i="7"/>
  <c r="G339" i="7"/>
  <c r="T338" i="7"/>
  <c r="S338" i="7" s="1"/>
  <c r="R338" i="7"/>
  <c r="Q338" i="7"/>
  <c r="H338" i="7"/>
  <c r="G338" i="7" s="1"/>
  <c r="F338" i="7"/>
  <c r="S337" i="7"/>
  <c r="P337" i="7"/>
  <c r="G337" i="7"/>
  <c r="T335" i="7"/>
  <c r="S335" i="7" s="1"/>
  <c r="R335" i="7"/>
  <c r="R334" i="7" s="1"/>
  <c r="Q335" i="7"/>
  <c r="P335" i="7"/>
  <c r="O335" i="7"/>
  <c r="H335" i="7"/>
  <c r="G335" i="7" s="1"/>
  <c r="F335" i="7"/>
  <c r="F334" i="7" s="1"/>
  <c r="Q334" i="7"/>
  <c r="S333" i="7"/>
  <c r="P333" i="7"/>
  <c r="G333" i="7"/>
  <c r="T331" i="7"/>
  <c r="S331" i="7"/>
  <c r="R331" i="7"/>
  <c r="Q331" i="7"/>
  <c r="P331" i="7" s="1"/>
  <c r="O331" i="7"/>
  <c r="H331" i="7"/>
  <c r="G331" i="7"/>
  <c r="F331" i="7"/>
  <c r="S330" i="7"/>
  <c r="P330" i="7"/>
  <c r="G330" i="7"/>
  <c r="T329" i="7"/>
  <c r="S329" i="7"/>
  <c r="R329" i="7"/>
  <c r="Q329" i="7"/>
  <c r="P329" i="7" s="1"/>
  <c r="O329" i="7"/>
  <c r="H329" i="7"/>
  <c r="G329" i="7"/>
  <c r="F329" i="7"/>
  <c r="S328" i="7"/>
  <c r="O328" i="7"/>
  <c r="P328" i="7" s="1"/>
  <c r="F328" i="7"/>
  <c r="G328" i="7" s="1"/>
  <c r="T327" i="7"/>
  <c r="S327" i="7"/>
  <c r="R327" i="7"/>
  <c r="Q327" i="7"/>
  <c r="P327" i="7" s="1"/>
  <c r="O327" i="7"/>
  <c r="H327" i="7"/>
  <c r="S326" i="7"/>
  <c r="P326" i="7"/>
  <c r="G326" i="7"/>
  <c r="T325" i="7"/>
  <c r="S325" i="7"/>
  <c r="R325" i="7"/>
  <c r="Q325" i="7"/>
  <c r="P325" i="7" s="1"/>
  <c r="O325" i="7"/>
  <c r="H325" i="7"/>
  <c r="G325" i="7"/>
  <c r="F325" i="7"/>
  <c r="S324" i="7"/>
  <c r="P324" i="7"/>
  <c r="G324" i="7"/>
  <c r="T323" i="7"/>
  <c r="S323" i="7"/>
  <c r="R323" i="7"/>
  <c r="Q323" i="7"/>
  <c r="P323" i="7" s="1"/>
  <c r="O323" i="7"/>
  <c r="O322" i="7" s="1"/>
  <c r="H323" i="7"/>
  <c r="G323" i="7"/>
  <c r="F323" i="7"/>
  <c r="T322" i="7"/>
  <c r="S322" i="7" s="1"/>
  <c r="R322" i="7"/>
  <c r="H322" i="7"/>
  <c r="G322" i="7" s="1"/>
  <c r="F322" i="7"/>
  <c r="T321" i="7"/>
  <c r="S321" i="7" s="1"/>
  <c r="R321" i="7"/>
  <c r="Q321" i="7"/>
  <c r="H321" i="7"/>
  <c r="S320" i="7"/>
  <c r="P320" i="7"/>
  <c r="G320" i="7"/>
  <c r="T319" i="7"/>
  <c r="S319" i="7" s="1"/>
  <c r="R319" i="7"/>
  <c r="Q319" i="7"/>
  <c r="P319" i="7"/>
  <c r="O319" i="7"/>
  <c r="H319" i="7"/>
  <c r="G319" i="7" s="1"/>
  <c r="F319" i="7"/>
  <c r="S318" i="7"/>
  <c r="P318" i="7"/>
  <c r="G318" i="7"/>
  <c r="T317" i="7"/>
  <c r="S317" i="7" s="1"/>
  <c r="R317" i="7"/>
  <c r="Q317" i="7"/>
  <c r="P317" i="7"/>
  <c r="O317" i="7"/>
  <c r="H317" i="7"/>
  <c r="G317" i="7" s="1"/>
  <c r="F317" i="7"/>
  <c r="S316" i="7"/>
  <c r="P316" i="7"/>
  <c r="G316" i="7"/>
  <c r="T314" i="7"/>
  <c r="S314" i="7" s="1"/>
  <c r="R314" i="7"/>
  <c r="Q314" i="7"/>
  <c r="P314" i="7"/>
  <c r="O314" i="7"/>
  <c r="H314" i="7"/>
  <c r="G314" i="7" s="1"/>
  <c r="F314" i="7"/>
  <c r="S313" i="7"/>
  <c r="P313" i="7"/>
  <c r="G313" i="7"/>
  <c r="T312" i="7"/>
  <c r="S312" i="7" s="1"/>
  <c r="R312" i="7"/>
  <c r="Q312" i="7"/>
  <c r="P312" i="7"/>
  <c r="O312" i="7"/>
  <c r="H312" i="7"/>
  <c r="G312" i="7" s="1"/>
  <c r="F312" i="7"/>
  <c r="S311" i="7"/>
  <c r="P311" i="7"/>
  <c r="G311" i="7"/>
  <c r="T310" i="7"/>
  <c r="S310" i="7" s="1"/>
  <c r="R310" i="7"/>
  <c r="Q310" i="7"/>
  <c r="P310" i="7"/>
  <c r="O310" i="7"/>
  <c r="H310" i="7"/>
  <c r="G310" i="7" s="1"/>
  <c r="F310" i="7"/>
  <c r="S309" i="7"/>
  <c r="P309" i="7"/>
  <c r="G309" i="7"/>
  <c r="T308" i="7"/>
  <c r="S308" i="7" s="1"/>
  <c r="R308" i="7"/>
  <c r="Q308" i="7"/>
  <c r="P308" i="7"/>
  <c r="O308" i="7"/>
  <c r="H308" i="7"/>
  <c r="G308" i="7" s="1"/>
  <c r="F308" i="7"/>
  <c r="S307" i="7"/>
  <c r="P307" i="7"/>
  <c r="G307" i="7"/>
  <c r="S306" i="7"/>
  <c r="O306" i="7"/>
  <c r="P306" i="7" s="1"/>
  <c r="F306" i="7"/>
  <c r="G306" i="7" s="1"/>
  <c r="S305" i="7"/>
  <c r="P305" i="7"/>
  <c r="G305" i="7"/>
  <c r="T304" i="7"/>
  <c r="S304" i="7" s="1"/>
  <c r="R304" i="7"/>
  <c r="R303" i="7" s="1"/>
  <c r="Q304" i="7"/>
  <c r="H304" i="7"/>
  <c r="G304" i="7" s="1"/>
  <c r="F304" i="7"/>
  <c r="F303" i="7" s="1"/>
  <c r="Q303" i="7"/>
  <c r="T302" i="7"/>
  <c r="S302" i="7" s="1"/>
  <c r="R302" i="7"/>
  <c r="Q302" i="7"/>
  <c r="H302" i="7"/>
  <c r="G302" i="7" s="1"/>
  <c r="F302" i="7"/>
  <c r="S300" i="7"/>
  <c r="P300" i="7"/>
  <c r="G300" i="7"/>
  <c r="T299" i="7"/>
  <c r="S299" i="7"/>
  <c r="R299" i="7"/>
  <c r="Q299" i="7"/>
  <c r="P299" i="7" s="1"/>
  <c r="O299" i="7"/>
  <c r="O298" i="7" s="1"/>
  <c r="H299" i="7"/>
  <c r="G299" i="7"/>
  <c r="F299" i="7"/>
  <c r="T298" i="7"/>
  <c r="S298" i="7" s="1"/>
  <c r="R298" i="7"/>
  <c r="H298" i="7"/>
  <c r="G298" i="7" s="1"/>
  <c r="F298" i="7"/>
  <c r="S297" i="7"/>
  <c r="P297" i="7"/>
  <c r="G297" i="7"/>
  <c r="S296" i="7"/>
  <c r="P296" i="7"/>
  <c r="G296" i="7"/>
  <c r="S295" i="7"/>
  <c r="P295" i="7"/>
  <c r="O295" i="7"/>
  <c r="G295" i="7"/>
  <c r="F295" i="7"/>
  <c r="T294" i="7"/>
  <c r="S294" i="7" s="1"/>
  <c r="R294" i="7"/>
  <c r="R293" i="7" s="1"/>
  <c r="Q294" i="7"/>
  <c r="P294" i="7"/>
  <c r="O294" i="7"/>
  <c r="H294" i="7"/>
  <c r="G294" i="7" s="1"/>
  <c r="F294" i="7"/>
  <c r="F293" i="7" s="1"/>
  <c r="Q293" i="7"/>
  <c r="P293" i="7" s="1"/>
  <c r="O293" i="7"/>
  <c r="R292" i="7"/>
  <c r="R291" i="7" s="1"/>
  <c r="Q292" i="7"/>
  <c r="P292" i="7"/>
  <c r="O292" i="7"/>
  <c r="H292" i="7"/>
  <c r="G292" i="7" s="1"/>
  <c r="F292" i="7"/>
  <c r="F291" i="7" s="1"/>
  <c r="Q291" i="7"/>
  <c r="P291" i="7" s="1"/>
  <c r="O291" i="7"/>
  <c r="S290" i="7"/>
  <c r="P290" i="7"/>
  <c r="G290" i="7"/>
  <c r="S289" i="7"/>
  <c r="P289" i="7"/>
  <c r="G289" i="7"/>
  <c r="S288" i="7"/>
  <c r="Q288" i="7"/>
  <c r="P288" i="7"/>
  <c r="H288" i="7"/>
  <c r="G288" i="7"/>
  <c r="S287" i="7"/>
  <c r="Q287" i="7"/>
  <c r="P287" i="7" s="1"/>
  <c r="H287" i="7"/>
  <c r="G287" i="7" s="1"/>
  <c r="S286" i="7"/>
  <c r="Q286" i="7"/>
  <c r="P286" i="7"/>
  <c r="H286" i="7"/>
  <c r="G286" i="7"/>
  <c r="R285" i="7"/>
  <c r="S285" i="7" s="1"/>
  <c r="Q285" i="7"/>
  <c r="P285" i="7"/>
  <c r="O285" i="7"/>
  <c r="H285" i="7"/>
  <c r="G285" i="7" s="1"/>
  <c r="F285" i="7"/>
  <c r="F284" i="7" s="1"/>
  <c r="T284" i="7"/>
  <c r="Q284" i="7"/>
  <c r="P284" i="7" s="1"/>
  <c r="O284" i="7"/>
  <c r="O283" i="7" s="1"/>
  <c r="T283" i="7"/>
  <c r="T282" i="7"/>
  <c r="Q282" i="7"/>
  <c r="P282" i="7" s="1"/>
  <c r="O282" i="7"/>
  <c r="S281" i="7"/>
  <c r="P281" i="7"/>
  <c r="G281" i="7"/>
  <c r="T280" i="7"/>
  <c r="S280" i="7"/>
  <c r="R280" i="7"/>
  <c r="Q280" i="7"/>
  <c r="P280" i="7" s="1"/>
  <c r="O280" i="7"/>
  <c r="O279" i="7" s="1"/>
  <c r="H280" i="7"/>
  <c r="G280" i="7"/>
  <c r="F280" i="7"/>
  <c r="T279" i="7"/>
  <c r="S279" i="7" s="1"/>
  <c r="R279" i="7"/>
  <c r="H279" i="7"/>
  <c r="G279" i="7" s="1"/>
  <c r="F279" i="7"/>
  <c r="S278" i="7"/>
  <c r="P278" i="7"/>
  <c r="O278" i="7"/>
  <c r="G278" i="7"/>
  <c r="F278" i="7"/>
  <c r="T277" i="7"/>
  <c r="S277" i="7" s="1"/>
  <c r="R277" i="7"/>
  <c r="Q277" i="7"/>
  <c r="P277" i="7"/>
  <c r="O277" i="7"/>
  <c r="H277" i="7"/>
  <c r="G277" i="7" s="1"/>
  <c r="F277" i="7"/>
  <c r="S276" i="7"/>
  <c r="P276" i="7"/>
  <c r="O276" i="7"/>
  <c r="G276" i="7"/>
  <c r="F276" i="7"/>
  <c r="T275" i="7"/>
  <c r="S275" i="7" s="1"/>
  <c r="R275" i="7"/>
  <c r="R274" i="7" s="1"/>
  <c r="Q275" i="7"/>
  <c r="P275" i="7"/>
  <c r="O275" i="7"/>
  <c r="H275" i="7"/>
  <c r="G275" i="7" s="1"/>
  <c r="F275" i="7"/>
  <c r="F274" i="7" s="1"/>
  <c r="Q274" i="7"/>
  <c r="P274" i="7" s="1"/>
  <c r="O274" i="7"/>
  <c r="S273" i="7"/>
  <c r="P273" i="7"/>
  <c r="G273" i="7"/>
  <c r="T272" i="7"/>
  <c r="S272" i="7"/>
  <c r="R272" i="7"/>
  <c r="Q272" i="7"/>
  <c r="P272" i="7" s="1"/>
  <c r="O272" i="7"/>
  <c r="O271" i="7" s="1"/>
  <c r="H272" i="7"/>
  <c r="G272" i="7"/>
  <c r="F272" i="7"/>
  <c r="T271" i="7"/>
  <c r="S271" i="7" s="1"/>
  <c r="R271" i="7"/>
  <c r="H271" i="7"/>
  <c r="G271" i="7" s="1"/>
  <c r="F271" i="7"/>
  <c r="S269" i="7"/>
  <c r="P269" i="7"/>
  <c r="G269" i="7"/>
  <c r="T268" i="7"/>
  <c r="S268" i="7" s="1"/>
  <c r="R268" i="7"/>
  <c r="R267" i="7" s="1"/>
  <c r="Q268" i="7"/>
  <c r="P268" i="7"/>
  <c r="O268" i="7"/>
  <c r="H268" i="7"/>
  <c r="G268" i="7" s="1"/>
  <c r="F268" i="7"/>
  <c r="F267" i="7" s="1"/>
  <c r="Q267" i="7"/>
  <c r="P267" i="7" s="1"/>
  <c r="O267" i="7"/>
  <c r="R265" i="7"/>
  <c r="Q265" i="7"/>
  <c r="H265" i="7"/>
  <c r="S264" i="7"/>
  <c r="P264" i="7"/>
  <c r="G264" i="7"/>
  <c r="T263" i="7"/>
  <c r="S263" i="7" s="1"/>
  <c r="R263" i="7"/>
  <c r="Q263" i="7"/>
  <c r="P263" i="7"/>
  <c r="O263" i="7"/>
  <c r="H263" i="7"/>
  <c r="G263" i="7" s="1"/>
  <c r="F263" i="7"/>
  <c r="S262" i="7"/>
  <c r="P262" i="7"/>
  <c r="O262" i="7"/>
  <c r="G262" i="7"/>
  <c r="F262" i="7"/>
  <c r="T261" i="7"/>
  <c r="S261" i="7" s="1"/>
  <c r="R261" i="7"/>
  <c r="Q261" i="7"/>
  <c r="P261" i="7"/>
  <c r="O261" i="7"/>
  <c r="H261" i="7"/>
  <c r="G261" i="7" s="1"/>
  <c r="F261" i="7"/>
  <c r="S260" i="7"/>
  <c r="P260" i="7"/>
  <c r="G260" i="7"/>
  <c r="T259" i="7"/>
  <c r="S259" i="7" s="1"/>
  <c r="R259" i="7"/>
  <c r="R258" i="7" s="1"/>
  <c r="Q259" i="7"/>
  <c r="P259" i="7"/>
  <c r="O259" i="7"/>
  <c r="H259" i="7"/>
  <c r="G259" i="7" s="1"/>
  <c r="F259" i="7"/>
  <c r="F258" i="7" s="1"/>
  <c r="Q258" i="7"/>
  <c r="P258" i="7" s="1"/>
  <c r="O258" i="7"/>
  <c r="T257" i="7"/>
  <c r="S257" i="7" s="1"/>
  <c r="R257" i="7"/>
  <c r="Q257" i="7"/>
  <c r="P257" i="7"/>
  <c r="O257" i="7"/>
  <c r="H257" i="7"/>
  <c r="G257" i="7" s="1"/>
  <c r="F257" i="7"/>
  <c r="Q256" i="7"/>
  <c r="H256" i="7"/>
  <c r="Q255" i="7"/>
  <c r="H255" i="7"/>
  <c r="R254" i="7"/>
  <c r="Q254" i="7"/>
  <c r="Q253" i="7" s="1"/>
  <c r="H254" i="7"/>
  <c r="R253" i="7"/>
  <c r="R252" i="7" s="1"/>
  <c r="H253" i="7"/>
  <c r="H252" i="7" s="1"/>
  <c r="R251" i="7"/>
  <c r="H251" i="7"/>
  <c r="G251" i="7" s="1"/>
  <c r="S250" i="7"/>
  <c r="P250" i="7"/>
  <c r="G250" i="7"/>
  <c r="T249" i="7"/>
  <c r="S249" i="7"/>
  <c r="R249" i="7"/>
  <c r="Q249" i="7"/>
  <c r="P249" i="7" s="1"/>
  <c r="O249" i="7"/>
  <c r="H249" i="7"/>
  <c r="G249" i="7"/>
  <c r="F249" i="7"/>
  <c r="S248" i="7"/>
  <c r="O248" i="7"/>
  <c r="P248" i="7" s="1"/>
  <c r="G248" i="7"/>
  <c r="T247" i="7"/>
  <c r="S247" i="7" s="1"/>
  <c r="R247" i="7"/>
  <c r="R246" i="7" s="1"/>
  <c r="Q247" i="7"/>
  <c r="H247" i="7"/>
  <c r="G247" i="7" s="1"/>
  <c r="F247" i="7"/>
  <c r="F246" i="7" s="1"/>
  <c r="Q246" i="7"/>
  <c r="T245" i="7"/>
  <c r="S245" i="7" s="1"/>
  <c r="R245" i="7"/>
  <c r="H245" i="7"/>
  <c r="G245" i="7" s="1"/>
  <c r="F245" i="7"/>
  <c r="S243" i="7"/>
  <c r="P243" i="7"/>
  <c r="G243" i="7"/>
  <c r="T242" i="7"/>
  <c r="S242" i="7"/>
  <c r="R242" i="7"/>
  <c r="Q242" i="7"/>
  <c r="P242" i="7" s="1"/>
  <c r="O242" i="7"/>
  <c r="H242" i="7"/>
  <c r="G242" i="7"/>
  <c r="F242" i="7"/>
  <c r="S241" i="7"/>
  <c r="P241" i="7"/>
  <c r="G241" i="7"/>
  <c r="T240" i="7"/>
  <c r="S240" i="7"/>
  <c r="R240" i="7"/>
  <c r="Q240" i="7"/>
  <c r="P240" i="7" s="1"/>
  <c r="O240" i="7"/>
  <c r="O239" i="7" s="1"/>
  <c r="H240" i="7"/>
  <c r="G240" i="7"/>
  <c r="F240" i="7"/>
  <c r="T239" i="7"/>
  <c r="S239" i="7" s="1"/>
  <c r="R239" i="7"/>
  <c r="H239" i="7"/>
  <c r="G239" i="7" s="1"/>
  <c r="F239" i="7"/>
  <c r="T238" i="7"/>
  <c r="S238" i="7"/>
  <c r="R238" i="7"/>
  <c r="Q238" i="7"/>
  <c r="P238" i="7" s="1"/>
  <c r="O238" i="7"/>
  <c r="H238" i="7"/>
  <c r="G238" i="7"/>
  <c r="F238" i="7"/>
  <c r="R236" i="7"/>
  <c r="R235" i="7" s="1"/>
  <c r="Q236" i="7"/>
  <c r="H236" i="7"/>
  <c r="H235" i="7" s="1"/>
  <c r="Q235" i="7"/>
  <c r="R234" i="7"/>
  <c r="Q234" i="7"/>
  <c r="H234" i="7"/>
  <c r="S233" i="7"/>
  <c r="Q233" i="7"/>
  <c r="P233" i="7" s="1"/>
  <c r="H233" i="7"/>
  <c r="G233" i="7" s="1"/>
  <c r="T232" i="7"/>
  <c r="S232" i="7" s="1"/>
  <c r="R232" i="7"/>
  <c r="R231" i="7" s="1"/>
  <c r="O232" i="7"/>
  <c r="H232" i="7"/>
  <c r="F232" i="7"/>
  <c r="F231" i="7" s="1"/>
  <c r="O231" i="7"/>
  <c r="T230" i="7"/>
  <c r="S230" i="7" s="1"/>
  <c r="R230" i="7"/>
  <c r="O230" i="7"/>
  <c r="H230" i="7"/>
  <c r="G230" i="7" s="1"/>
  <c r="F230" i="7"/>
  <c r="S229" i="7"/>
  <c r="P229" i="7"/>
  <c r="G229" i="7"/>
  <c r="T228" i="7"/>
  <c r="R228" i="7"/>
  <c r="R227" i="7" s="1"/>
  <c r="Q228" i="7"/>
  <c r="P228" i="7"/>
  <c r="O228" i="7"/>
  <c r="H228" i="7"/>
  <c r="F228" i="7"/>
  <c r="F227" i="7" s="1"/>
  <c r="Q227" i="7"/>
  <c r="P227" i="7" s="1"/>
  <c r="O227" i="7"/>
  <c r="T226" i="7"/>
  <c r="R226" i="7"/>
  <c r="Q226" i="7"/>
  <c r="P226" i="7"/>
  <c r="O226" i="7"/>
  <c r="H226" i="7"/>
  <c r="S225" i="7"/>
  <c r="Q225" i="7"/>
  <c r="P225" i="7" s="1"/>
  <c r="H225" i="7"/>
  <c r="G225" i="7" s="1"/>
  <c r="T224" i="7"/>
  <c r="S224" i="7"/>
  <c r="R224" i="7"/>
  <c r="Q224" i="7"/>
  <c r="P224" i="7" s="1"/>
  <c r="O224" i="7"/>
  <c r="O223" i="7" s="1"/>
  <c r="F224" i="7"/>
  <c r="T223" i="7"/>
  <c r="S223" i="7" s="1"/>
  <c r="R223" i="7"/>
  <c r="F223" i="7"/>
  <c r="T222" i="7"/>
  <c r="S222" i="7"/>
  <c r="R222" i="7"/>
  <c r="Q222" i="7"/>
  <c r="P222" i="7" s="1"/>
  <c r="O222" i="7"/>
  <c r="F222" i="7"/>
  <c r="S221" i="7"/>
  <c r="P221" i="7"/>
  <c r="G221" i="7"/>
  <c r="T220" i="7"/>
  <c r="S220" i="7"/>
  <c r="R220" i="7"/>
  <c r="Q220" i="7"/>
  <c r="P220" i="7" s="1"/>
  <c r="O220" i="7"/>
  <c r="O219" i="7" s="1"/>
  <c r="H220" i="7"/>
  <c r="G220" i="7"/>
  <c r="F220" i="7"/>
  <c r="T219" i="7"/>
  <c r="S219" i="7" s="1"/>
  <c r="R219" i="7"/>
  <c r="H219" i="7"/>
  <c r="G219" i="7" s="1"/>
  <c r="F219" i="7"/>
  <c r="S218" i="7"/>
  <c r="P218" i="7"/>
  <c r="O218" i="7"/>
  <c r="G218" i="7"/>
  <c r="F218" i="7"/>
  <c r="T216" i="7"/>
  <c r="S216" i="7" s="1"/>
  <c r="R216" i="7"/>
  <c r="Q216" i="7"/>
  <c r="P216" i="7"/>
  <c r="O216" i="7"/>
  <c r="H216" i="7"/>
  <c r="G216" i="7" s="1"/>
  <c r="F216" i="7"/>
  <c r="S215" i="7"/>
  <c r="P215" i="7"/>
  <c r="G215" i="7"/>
  <c r="T214" i="7"/>
  <c r="S214" i="7" s="1"/>
  <c r="R214" i="7"/>
  <c r="Q214" i="7"/>
  <c r="P214" i="7"/>
  <c r="O214" i="7"/>
  <c r="H214" i="7"/>
  <c r="G214" i="7" s="1"/>
  <c r="F214" i="7"/>
  <c r="S213" i="7"/>
  <c r="P213" i="7"/>
  <c r="G213" i="7"/>
  <c r="T212" i="7"/>
  <c r="S212" i="7" s="1"/>
  <c r="R212" i="7"/>
  <c r="R211" i="7" s="1"/>
  <c r="Q212" i="7"/>
  <c r="P212" i="7"/>
  <c r="O212" i="7"/>
  <c r="H212" i="7"/>
  <c r="G212" i="7" s="1"/>
  <c r="F212" i="7"/>
  <c r="F211" i="7" s="1"/>
  <c r="Q211" i="7"/>
  <c r="P211" i="7" s="1"/>
  <c r="O211" i="7"/>
  <c r="T210" i="7"/>
  <c r="S210" i="7" s="1"/>
  <c r="R210" i="7"/>
  <c r="Q210" i="7"/>
  <c r="P210" i="7"/>
  <c r="O210" i="7"/>
  <c r="H210" i="7"/>
  <c r="G210" i="7" s="1"/>
  <c r="F210" i="7"/>
  <c r="S209" i="7"/>
  <c r="P209" i="7"/>
  <c r="G209" i="7"/>
  <c r="T208" i="7"/>
  <c r="S208" i="7" s="1"/>
  <c r="R208" i="7"/>
  <c r="R207" i="7" s="1"/>
  <c r="Q208" i="7"/>
  <c r="P208" i="7"/>
  <c r="O208" i="7"/>
  <c r="H208" i="7"/>
  <c r="G208" i="7" s="1"/>
  <c r="F208" i="7"/>
  <c r="F207" i="7" s="1"/>
  <c r="Q207" i="7"/>
  <c r="P207" i="7" s="1"/>
  <c r="O207" i="7"/>
  <c r="S206" i="7"/>
  <c r="Q206" i="7"/>
  <c r="P206" i="7"/>
  <c r="H206" i="7"/>
  <c r="G206" i="7"/>
  <c r="S205" i="7"/>
  <c r="Q205" i="7"/>
  <c r="P205" i="7" s="1"/>
  <c r="H205" i="7"/>
  <c r="G205" i="7" s="1"/>
  <c r="T204" i="7"/>
  <c r="S204" i="7" s="1"/>
  <c r="R204" i="7"/>
  <c r="R203" i="7" s="1"/>
  <c r="O204" i="7"/>
  <c r="H204" i="7"/>
  <c r="G204" i="7" s="1"/>
  <c r="F204" i="7"/>
  <c r="F203" i="7" s="1"/>
  <c r="O203" i="7"/>
  <c r="S202" i="7"/>
  <c r="P202" i="7"/>
  <c r="G202" i="7"/>
  <c r="T201" i="7"/>
  <c r="S201" i="7"/>
  <c r="R201" i="7"/>
  <c r="Q201" i="7"/>
  <c r="P201" i="7" s="1"/>
  <c r="O201" i="7"/>
  <c r="O200" i="7" s="1"/>
  <c r="H201" i="7"/>
  <c r="G201" i="7"/>
  <c r="F201" i="7"/>
  <c r="T200" i="7"/>
  <c r="S200" i="7" s="1"/>
  <c r="R200" i="7"/>
  <c r="H200" i="7"/>
  <c r="G200" i="7" s="1"/>
  <c r="F200" i="7"/>
  <c r="S199" i="7"/>
  <c r="P199" i="7"/>
  <c r="G199" i="7"/>
  <c r="T198" i="7"/>
  <c r="S198" i="7" s="1"/>
  <c r="R198" i="7"/>
  <c r="Q198" i="7"/>
  <c r="P198" i="7"/>
  <c r="O198" i="7"/>
  <c r="H198" i="7"/>
  <c r="G198" i="7" s="1"/>
  <c r="F198" i="7"/>
  <c r="S197" i="7"/>
  <c r="P197" i="7"/>
  <c r="G197" i="7"/>
  <c r="T196" i="7"/>
  <c r="S196" i="7" s="1"/>
  <c r="R196" i="7"/>
  <c r="R195" i="7" s="1"/>
  <c r="Q196" i="7"/>
  <c r="P196" i="7"/>
  <c r="O196" i="7"/>
  <c r="H196" i="7"/>
  <c r="G196" i="7" s="1"/>
  <c r="F196" i="7"/>
  <c r="F195" i="7" s="1"/>
  <c r="Q195" i="7"/>
  <c r="P195" i="7" s="1"/>
  <c r="O195" i="7"/>
  <c r="T194" i="7"/>
  <c r="S194" i="7" s="1"/>
  <c r="R194" i="7"/>
  <c r="Q194" i="7"/>
  <c r="P194" i="7"/>
  <c r="O194" i="7"/>
  <c r="H194" i="7"/>
  <c r="G194" i="7" s="1"/>
  <c r="F194" i="7"/>
  <c r="R192" i="7"/>
  <c r="Q192" i="7"/>
  <c r="Q188" i="7" s="1"/>
  <c r="H192" i="7"/>
  <c r="R190" i="7"/>
  <c r="R189" i="7" s="1"/>
  <c r="Q190" i="7"/>
  <c r="H190" i="7"/>
  <c r="H189" i="7" s="1"/>
  <c r="Q189" i="7"/>
  <c r="R188" i="7"/>
  <c r="H188" i="7"/>
  <c r="S187" i="7"/>
  <c r="P187" i="7"/>
  <c r="G187" i="7"/>
  <c r="T186" i="7"/>
  <c r="S186" i="7" s="1"/>
  <c r="R186" i="7"/>
  <c r="Q186" i="7"/>
  <c r="P186" i="7"/>
  <c r="O186" i="7"/>
  <c r="H186" i="7"/>
  <c r="G186" i="7" s="1"/>
  <c r="F186" i="7"/>
  <c r="R184" i="7"/>
  <c r="Q184" i="7"/>
  <c r="H184" i="7"/>
  <c r="S183" i="7"/>
  <c r="P183" i="7"/>
  <c r="G183" i="7"/>
  <c r="T182" i="7"/>
  <c r="S182" i="7"/>
  <c r="R182" i="7"/>
  <c r="Q182" i="7"/>
  <c r="P182" i="7" s="1"/>
  <c r="O182" i="7"/>
  <c r="O181" i="7" s="1"/>
  <c r="H182" i="7"/>
  <c r="G182" i="7"/>
  <c r="F182" i="7"/>
  <c r="T181" i="7"/>
  <c r="S181" i="7" s="1"/>
  <c r="R181" i="7"/>
  <c r="H181" i="7"/>
  <c r="G181" i="7" s="1"/>
  <c r="F181" i="7"/>
  <c r="S180" i="7"/>
  <c r="P180" i="7"/>
  <c r="G180" i="7"/>
  <c r="T179" i="7"/>
  <c r="S179" i="7" s="1"/>
  <c r="R179" i="7"/>
  <c r="Q179" i="7"/>
  <c r="P179" i="7"/>
  <c r="O179" i="7"/>
  <c r="H179" i="7"/>
  <c r="G179" i="7" s="1"/>
  <c r="F179" i="7"/>
  <c r="S178" i="7"/>
  <c r="P178" i="7"/>
  <c r="G178" i="7"/>
  <c r="T177" i="7"/>
  <c r="S177" i="7" s="1"/>
  <c r="R177" i="7"/>
  <c r="R176" i="7" s="1"/>
  <c r="Q177" i="7"/>
  <c r="P177" i="7"/>
  <c r="O177" i="7"/>
  <c r="H177" i="7"/>
  <c r="G177" i="7" s="1"/>
  <c r="F177" i="7"/>
  <c r="Q176" i="7"/>
  <c r="P176" i="7" s="1"/>
  <c r="O176" i="7"/>
  <c r="H176" i="7"/>
  <c r="G176" i="7"/>
  <c r="F176" i="7"/>
  <c r="R174" i="7"/>
  <c r="Q174" i="7"/>
  <c r="H174" i="7"/>
  <c r="R172" i="7"/>
  <c r="Q172" i="7"/>
  <c r="H172" i="7"/>
  <c r="S171" i="7"/>
  <c r="P171" i="7"/>
  <c r="G171" i="7"/>
  <c r="T170" i="7"/>
  <c r="R170" i="7"/>
  <c r="S170" i="7" s="1"/>
  <c r="Q170" i="7"/>
  <c r="O170" i="7"/>
  <c r="P170" i="7" s="1"/>
  <c r="H170" i="7"/>
  <c r="F170" i="7"/>
  <c r="G170" i="7" s="1"/>
  <c r="T169" i="7"/>
  <c r="S169" i="7" s="1"/>
  <c r="R169" i="7"/>
  <c r="Q169" i="7"/>
  <c r="P169" i="7"/>
  <c r="O169" i="7"/>
  <c r="H169" i="7"/>
  <c r="G169" i="7" s="1"/>
  <c r="F169" i="7"/>
  <c r="T168" i="7"/>
  <c r="R168" i="7"/>
  <c r="S168" i="7" s="1"/>
  <c r="Q168" i="7"/>
  <c r="O168" i="7"/>
  <c r="P168" i="7" s="1"/>
  <c r="H168" i="7"/>
  <c r="G168" i="7" s="1"/>
  <c r="F168" i="7"/>
  <c r="S167" i="7"/>
  <c r="P167" i="7"/>
  <c r="G167" i="7"/>
  <c r="T166" i="7"/>
  <c r="S166" i="7" s="1"/>
  <c r="R166" i="7"/>
  <c r="R165" i="7" s="1"/>
  <c r="Q166" i="7"/>
  <c r="P166" i="7"/>
  <c r="O166" i="7"/>
  <c r="H166" i="7"/>
  <c r="G166" i="7" s="1"/>
  <c r="F166" i="7"/>
  <c r="F165" i="7" s="1"/>
  <c r="Q165" i="7"/>
  <c r="P165" i="7" s="1"/>
  <c r="O165" i="7"/>
  <c r="T164" i="7"/>
  <c r="S164" i="7" s="1"/>
  <c r="R164" i="7"/>
  <c r="Q164" i="7"/>
  <c r="P164" i="7"/>
  <c r="O164" i="7"/>
  <c r="H164" i="7"/>
  <c r="G164" i="7" s="1"/>
  <c r="F164" i="7"/>
  <c r="S163" i="7"/>
  <c r="P163" i="7"/>
  <c r="G163" i="7"/>
  <c r="P162" i="7"/>
  <c r="G162" i="7"/>
  <c r="T161" i="7"/>
  <c r="S161" i="7" s="1"/>
  <c r="R161" i="7"/>
  <c r="Q161" i="7"/>
  <c r="P161" i="7"/>
  <c r="O161" i="7"/>
  <c r="H161" i="7"/>
  <c r="G161" i="7" s="1"/>
  <c r="F161" i="7"/>
  <c r="P160" i="7"/>
  <c r="G160" i="7"/>
  <c r="S159" i="7"/>
  <c r="P159" i="7"/>
  <c r="G159" i="7"/>
  <c r="T158" i="7"/>
  <c r="S158" i="7" s="1"/>
  <c r="R158" i="7"/>
  <c r="Q158" i="7"/>
  <c r="P158" i="7"/>
  <c r="O158" i="7"/>
  <c r="H158" i="7"/>
  <c r="G158" i="7" s="1"/>
  <c r="F158" i="7"/>
  <c r="T157" i="7"/>
  <c r="S157" i="7"/>
  <c r="R157" i="7"/>
  <c r="Q157" i="7"/>
  <c r="P157" i="7" s="1"/>
  <c r="O157" i="7"/>
  <c r="H157" i="7"/>
  <c r="G157" i="7"/>
  <c r="F157" i="7"/>
  <c r="S156" i="7"/>
  <c r="P156" i="7"/>
  <c r="G156" i="7"/>
  <c r="R155" i="7"/>
  <c r="Q155" i="7"/>
  <c r="H155" i="7"/>
  <c r="S154" i="7"/>
  <c r="P154" i="7"/>
  <c r="G154" i="7"/>
  <c r="T153" i="7"/>
  <c r="S153" i="7"/>
  <c r="R153" i="7"/>
  <c r="Q153" i="7"/>
  <c r="P153" i="7" s="1"/>
  <c r="O153" i="7"/>
  <c r="H153" i="7"/>
  <c r="G153" i="7"/>
  <c r="F153" i="7"/>
  <c r="T152" i="7"/>
  <c r="S152" i="7" s="1"/>
  <c r="R152" i="7"/>
  <c r="Q152" i="7"/>
  <c r="P152" i="7"/>
  <c r="O152" i="7"/>
  <c r="H152" i="7"/>
  <c r="G152" i="7" s="1"/>
  <c r="F152" i="7"/>
  <c r="T151" i="7"/>
  <c r="R151" i="7"/>
  <c r="S151" i="7" s="1"/>
  <c r="Q151" i="7"/>
  <c r="P151" i="7" s="1"/>
  <c r="O151" i="7"/>
  <c r="H151" i="7"/>
  <c r="G151" i="7"/>
  <c r="F151" i="7"/>
  <c r="R149" i="7"/>
  <c r="R148" i="7" s="1"/>
  <c r="Q149" i="7"/>
  <c r="H149" i="7"/>
  <c r="H148" i="7" s="1"/>
  <c r="Q148" i="7"/>
  <c r="S147" i="7"/>
  <c r="P147" i="7"/>
  <c r="G147" i="7"/>
  <c r="T146" i="7"/>
  <c r="S146" i="7"/>
  <c r="R146" i="7"/>
  <c r="Q146" i="7"/>
  <c r="P146" i="7" s="1"/>
  <c r="O146" i="7"/>
  <c r="H146" i="7"/>
  <c r="G146" i="7"/>
  <c r="F146" i="7"/>
  <c r="S145" i="7"/>
  <c r="P145" i="7"/>
  <c r="G145" i="7"/>
  <c r="T144" i="7"/>
  <c r="S144" i="7"/>
  <c r="R144" i="7"/>
  <c r="Q144" i="7"/>
  <c r="P144" i="7" s="1"/>
  <c r="O144" i="7"/>
  <c r="O143" i="7" s="1"/>
  <c r="H144" i="7"/>
  <c r="G144" i="7"/>
  <c r="F144" i="7"/>
  <c r="T143" i="7"/>
  <c r="S143" i="7" s="1"/>
  <c r="R143" i="7"/>
  <c r="H143" i="7"/>
  <c r="G143" i="7" s="1"/>
  <c r="F143" i="7"/>
  <c r="S142" i="7"/>
  <c r="P142" i="7"/>
  <c r="G142" i="7"/>
  <c r="S141" i="7"/>
  <c r="P141" i="7"/>
  <c r="G141" i="7"/>
  <c r="S140" i="7"/>
  <c r="Q140" i="7"/>
  <c r="P140" i="7" s="1"/>
  <c r="H140" i="7"/>
  <c r="G140" i="7" s="1"/>
  <c r="S139" i="7"/>
  <c r="Q139" i="7"/>
  <c r="P139" i="7"/>
  <c r="H139" i="7"/>
  <c r="G139" i="7"/>
  <c r="S138" i="7"/>
  <c r="Q138" i="7"/>
  <c r="P138" i="7" s="1"/>
  <c r="H138" i="7"/>
  <c r="G138" i="7" s="1"/>
  <c r="S137" i="7"/>
  <c r="R137" i="7"/>
  <c r="Q137" i="7"/>
  <c r="P137" i="7" s="1"/>
  <c r="H137" i="7"/>
  <c r="G137" i="7" s="1"/>
  <c r="T136" i="7"/>
  <c r="S136" i="7" s="1"/>
  <c r="R136" i="7"/>
  <c r="O136" i="7"/>
  <c r="H136" i="7"/>
  <c r="G136" i="7" s="1"/>
  <c r="F136" i="7"/>
  <c r="F133" i="7" s="1"/>
  <c r="R135" i="7"/>
  <c r="Q135" i="7"/>
  <c r="P135" i="7" s="1"/>
  <c r="O135" i="7"/>
  <c r="O134" i="7" s="1"/>
  <c r="H135" i="7"/>
  <c r="G135" i="7"/>
  <c r="F135" i="7"/>
  <c r="R134" i="7"/>
  <c r="R133" i="7" s="1"/>
  <c r="S133" i="7" s="1"/>
  <c r="H134" i="7"/>
  <c r="G134" i="7" s="1"/>
  <c r="F134" i="7"/>
  <c r="T133" i="7"/>
  <c r="O133" i="7"/>
  <c r="T132" i="7"/>
  <c r="S132" i="7" s="1"/>
  <c r="R132" i="7"/>
  <c r="O132" i="7"/>
  <c r="H132" i="7"/>
  <c r="G132" i="7" s="1"/>
  <c r="F132" i="7"/>
  <c r="S131" i="7"/>
  <c r="Q131" i="7"/>
  <c r="P131" i="7" s="1"/>
  <c r="H131" i="7"/>
  <c r="G131" i="7" s="1"/>
  <c r="S130" i="7"/>
  <c r="R130" i="7"/>
  <c r="Q130" i="7"/>
  <c r="P130" i="7" s="1"/>
  <c r="H130" i="7"/>
  <c r="G130" i="7" s="1"/>
  <c r="S129" i="7"/>
  <c r="Q129" i="7"/>
  <c r="P129" i="7"/>
  <c r="G129" i="7"/>
  <c r="S128" i="7"/>
  <c r="R128" i="7"/>
  <c r="Q128" i="7"/>
  <c r="P128" i="7" s="1"/>
  <c r="O128" i="7"/>
  <c r="O127" i="7" s="1"/>
  <c r="H128" i="7"/>
  <c r="G128" i="7"/>
  <c r="F128" i="7"/>
  <c r="T127" i="7"/>
  <c r="S127" i="7" s="1"/>
  <c r="R127" i="7"/>
  <c r="R126" i="7" s="1"/>
  <c r="H127" i="7"/>
  <c r="G127" i="7" s="1"/>
  <c r="F127" i="7"/>
  <c r="F126" i="7" s="1"/>
  <c r="S125" i="7"/>
  <c r="P125" i="7"/>
  <c r="G125" i="7"/>
  <c r="T124" i="7"/>
  <c r="S124" i="7"/>
  <c r="R124" i="7"/>
  <c r="Q124" i="7"/>
  <c r="P124" i="7" s="1"/>
  <c r="O124" i="7"/>
  <c r="O123" i="7" s="1"/>
  <c r="H124" i="7"/>
  <c r="G124" i="7"/>
  <c r="F124" i="7"/>
  <c r="T123" i="7"/>
  <c r="S123" i="7" s="1"/>
  <c r="R123" i="7"/>
  <c r="H123" i="7"/>
  <c r="G123" i="7" s="1"/>
  <c r="F123" i="7"/>
  <c r="T122" i="7"/>
  <c r="S122" i="7"/>
  <c r="R122" i="7"/>
  <c r="H122" i="7"/>
  <c r="G122" i="7"/>
  <c r="F122" i="7"/>
  <c r="S121" i="7"/>
  <c r="R121" i="7"/>
  <c r="Q121" i="7"/>
  <c r="P121" i="7" s="1"/>
  <c r="O121" i="7"/>
  <c r="O120" i="7" s="1"/>
  <c r="O119" i="7" s="1"/>
  <c r="H121" i="7"/>
  <c r="G121" i="7"/>
  <c r="F121" i="7"/>
  <c r="T120" i="7"/>
  <c r="S120" i="7" s="1"/>
  <c r="R120" i="7"/>
  <c r="R119" i="7" s="1"/>
  <c r="H120" i="7"/>
  <c r="G120" i="7" s="1"/>
  <c r="F120" i="7"/>
  <c r="F119" i="7" s="1"/>
  <c r="S118" i="7"/>
  <c r="P118" i="7"/>
  <c r="G118" i="7"/>
  <c r="T117" i="7"/>
  <c r="S117" i="7"/>
  <c r="R117" i="7"/>
  <c r="Q117" i="7"/>
  <c r="P117" i="7" s="1"/>
  <c r="O117" i="7"/>
  <c r="O116" i="7" s="1"/>
  <c r="H117" i="7"/>
  <c r="G117" i="7"/>
  <c r="F117" i="7"/>
  <c r="T116" i="7"/>
  <c r="S116" i="7" s="1"/>
  <c r="R116" i="7"/>
  <c r="H116" i="7"/>
  <c r="G116" i="7" s="1"/>
  <c r="F116" i="7"/>
  <c r="R115" i="7"/>
  <c r="S115" i="7" s="1"/>
  <c r="Q115" i="7"/>
  <c r="P115" i="7"/>
  <c r="O115" i="7"/>
  <c r="H115" i="7"/>
  <c r="G115" i="7" s="1"/>
  <c r="F115" i="7"/>
  <c r="F114" i="7" s="1"/>
  <c r="T114" i="7"/>
  <c r="Q114" i="7"/>
  <c r="P114" i="7" s="1"/>
  <c r="O114" i="7"/>
  <c r="S113" i="7"/>
  <c r="P113" i="7"/>
  <c r="G113" i="7"/>
  <c r="S112" i="7"/>
  <c r="P112" i="7"/>
  <c r="G112" i="7"/>
  <c r="S111" i="7"/>
  <c r="R111" i="7"/>
  <c r="Q111" i="7"/>
  <c r="P111" i="7" s="1"/>
  <c r="O111" i="7"/>
  <c r="O110" i="7" s="1"/>
  <c r="O62" i="7" s="1"/>
  <c r="H111" i="7"/>
  <c r="G111" i="7"/>
  <c r="F111" i="7"/>
  <c r="T110" i="7"/>
  <c r="S110" i="7" s="1"/>
  <c r="R110" i="7"/>
  <c r="H110" i="7"/>
  <c r="G110" i="7" s="1"/>
  <c r="F110" i="7"/>
  <c r="R109" i="7"/>
  <c r="S109" i="7" s="1"/>
  <c r="Q109" i="7"/>
  <c r="P109" i="7"/>
  <c r="O109" i="7"/>
  <c r="H109" i="7"/>
  <c r="G109" i="7" s="1"/>
  <c r="F109" i="7"/>
  <c r="S108" i="7"/>
  <c r="P108" i="7"/>
  <c r="G108" i="7"/>
  <c r="T107" i="7"/>
  <c r="S107" i="7" s="1"/>
  <c r="R107" i="7"/>
  <c r="Q107" i="7"/>
  <c r="P107" i="7"/>
  <c r="O107" i="7"/>
  <c r="H107" i="7"/>
  <c r="G107" i="7" s="1"/>
  <c r="F107" i="7"/>
  <c r="S106" i="7"/>
  <c r="P106" i="7"/>
  <c r="G106" i="7"/>
  <c r="T105" i="7"/>
  <c r="S105" i="7" s="1"/>
  <c r="R105" i="7"/>
  <c r="Q105" i="7"/>
  <c r="P105" i="7"/>
  <c r="O105" i="7"/>
  <c r="H105" i="7"/>
  <c r="G105" i="7" s="1"/>
  <c r="F105" i="7"/>
  <c r="R103" i="7"/>
  <c r="Q103" i="7"/>
  <c r="H103" i="7"/>
  <c r="R100" i="7"/>
  <c r="Q100" i="7"/>
  <c r="H100" i="7"/>
  <c r="R98" i="7"/>
  <c r="Q98" i="7"/>
  <c r="H98" i="7"/>
  <c r="S97" i="7"/>
  <c r="T96" i="7"/>
  <c r="S96" i="7"/>
  <c r="R96" i="7"/>
  <c r="Q96" i="7"/>
  <c r="H96" i="7"/>
  <c r="S95" i="7"/>
  <c r="Q95" i="7"/>
  <c r="H95" i="7"/>
  <c r="H94" i="7" s="1"/>
  <c r="H93" i="7" s="1"/>
  <c r="T94" i="7"/>
  <c r="S94" i="7"/>
  <c r="R94" i="7"/>
  <c r="Q94" i="7"/>
  <c r="Q93" i="7" s="1"/>
  <c r="R93" i="7"/>
  <c r="R92" i="7"/>
  <c r="S92" i="7" s="1"/>
  <c r="Q92" i="7"/>
  <c r="P92" i="7"/>
  <c r="O92" i="7"/>
  <c r="H92" i="7"/>
  <c r="G92" i="7" s="1"/>
  <c r="F92" i="7"/>
  <c r="R91" i="7"/>
  <c r="S91" i="7" s="1"/>
  <c r="Q91" i="7"/>
  <c r="P91" i="7"/>
  <c r="H91" i="7"/>
  <c r="G91" i="7"/>
  <c r="R90" i="7"/>
  <c r="S90" i="7" s="1"/>
  <c r="Q90" i="7"/>
  <c r="P90" i="7"/>
  <c r="H90" i="7"/>
  <c r="G90" i="7"/>
  <c r="R89" i="7"/>
  <c r="S89" i="7" s="1"/>
  <c r="Q89" i="7"/>
  <c r="P89" i="7"/>
  <c r="O89" i="7"/>
  <c r="H89" i="7"/>
  <c r="G89" i="7" s="1"/>
  <c r="F89" i="7"/>
  <c r="F88" i="7" s="1"/>
  <c r="T88" i="7"/>
  <c r="Q88" i="7"/>
  <c r="P88" i="7" s="1"/>
  <c r="O88" i="7"/>
  <c r="S87" i="7"/>
  <c r="Q87" i="7"/>
  <c r="P87" i="7"/>
  <c r="H87" i="7"/>
  <c r="G87" i="7"/>
  <c r="T86" i="7"/>
  <c r="S86" i="7"/>
  <c r="R86" i="7"/>
  <c r="Q86" i="7"/>
  <c r="P86" i="7" s="1"/>
  <c r="O86" i="7"/>
  <c r="H86" i="7"/>
  <c r="G86" i="7"/>
  <c r="F86" i="7"/>
  <c r="S85" i="7"/>
  <c r="Q85" i="7"/>
  <c r="P85" i="7"/>
  <c r="H85" i="7"/>
  <c r="G85" i="7"/>
  <c r="T84" i="7"/>
  <c r="S84" i="7"/>
  <c r="R84" i="7"/>
  <c r="Q84" i="7"/>
  <c r="P84" i="7" s="1"/>
  <c r="O84" i="7"/>
  <c r="H84" i="7"/>
  <c r="G84" i="7"/>
  <c r="F84" i="7"/>
  <c r="S83" i="7"/>
  <c r="Q83" i="7"/>
  <c r="P83" i="7"/>
  <c r="H83" i="7"/>
  <c r="G83" i="7"/>
  <c r="T82" i="7"/>
  <c r="S82" i="7"/>
  <c r="R82" i="7"/>
  <c r="Q82" i="7"/>
  <c r="P82" i="7" s="1"/>
  <c r="O82" i="7"/>
  <c r="O81" i="7" s="1"/>
  <c r="H82" i="7"/>
  <c r="G82" i="7"/>
  <c r="F82" i="7"/>
  <c r="T81" i="7"/>
  <c r="S81" i="7" s="1"/>
  <c r="R81" i="7"/>
  <c r="H81" i="7"/>
  <c r="G81" i="7" s="1"/>
  <c r="F81" i="7"/>
  <c r="S80" i="7"/>
  <c r="P80" i="7"/>
  <c r="G80" i="7"/>
  <c r="T79" i="7"/>
  <c r="S79" i="7" s="1"/>
  <c r="R79" i="7"/>
  <c r="Q79" i="7"/>
  <c r="P79" i="7"/>
  <c r="O79" i="7"/>
  <c r="H79" i="7"/>
  <c r="G79" i="7" s="1"/>
  <c r="F79" i="7"/>
  <c r="S78" i="7"/>
  <c r="P78" i="7"/>
  <c r="G78" i="7"/>
  <c r="S77" i="7"/>
  <c r="P77" i="7"/>
  <c r="G77" i="7"/>
  <c r="S76" i="7"/>
  <c r="Q76" i="7"/>
  <c r="P76" i="7" s="1"/>
  <c r="H76" i="7"/>
  <c r="G76" i="7" s="1"/>
  <c r="S75" i="7"/>
  <c r="Q75" i="7"/>
  <c r="P75" i="7"/>
  <c r="H75" i="7"/>
  <c r="G75" i="7"/>
  <c r="S74" i="7"/>
  <c r="Q74" i="7"/>
  <c r="P74" i="7" s="1"/>
  <c r="H74" i="7"/>
  <c r="G74" i="7" s="1"/>
  <c r="S73" i="7"/>
  <c r="R73" i="7"/>
  <c r="Q73" i="7"/>
  <c r="P73" i="7" s="1"/>
  <c r="H73" i="7"/>
  <c r="G73" i="7" s="1"/>
  <c r="T72" i="7"/>
  <c r="S72" i="7" s="1"/>
  <c r="R72" i="7"/>
  <c r="R71" i="7" s="1"/>
  <c r="O72" i="7"/>
  <c r="H72" i="7"/>
  <c r="G72" i="7" s="1"/>
  <c r="F72" i="7"/>
  <c r="F71" i="7" s="1"/>
  <c r="O71" i="7"/>
  <c r="S70" i="7"/>
  <c r="P70" i="7"/>
  <c r="G70" i="7"/>
  <c r="S69" i="7"/>
  <c r="P69" i="7"/>
  <c r="G69" i="7"/>
  <c r="T68" i="7"/>
  <c r="S68" i="7" s="1"/>
  <c r="R68" i="7"/>
  <c r="R67" i="7" s="1"/>
  <c r="Q68" i="7"/>
  <c r="P68" i="7"/>
  <c r="O68" i="7"/>
  <c r="H68" i="7"/>
  <c r="G68" i="7" s="1"/>
  <c r="F68" i="7"/>
  <c r="F67" i="7" s="1"/>
  <c r="Q67" i="7"/>
  <c r="P67" i="7" s="1"/>
  <c r="O67" i="7"/>
  <c r="H65" i="7"/>
  <c r="H64" i="7" s="1"/>
  <c r="H63" i="7" s="1"/>
  <c r="R64" i="7"/>
  <c r="Q64" i="7"/>
  <c r="Q63" i="7" s="1"/>
  <c r="R63" i="7"/>
  <c r="S61" i="7"/>
  <c r="P61" i="7"/>
  <c r="G61" i="7"/>
  <c r="T60" i="7"/>
  <c r="S60" i="7"/>
  <c r="R60" i="7"/>
  <c r="Q60" i="7"/>
  <c r="P60" i="7" s="1"/>
  <c r="O60" i="7"/>
  <c r="O59" i="7" s="1"/>
  <c r="H60" i="7"/>
  <c r="G60" i="7"/>
  <c r="F60" i="7"/>
  <c r="T59" i="7"/>
  <c r="S59" i="7" s="1"/>
  <c r="R59" i="7"/>
  <c r="H59" i="7"/>
  <c r="G59" i="7" s="1"/>
  <c r="F59" i="7"/>
  <c r="R57" i="7"/>
  <c r="Q57" i="7"/>
  <c r="Q56" i="7" s="1"/>
  <c r="H57" i="7"/>
  <c r="R56" i="7"/>
  <c r="H56" i="7"/>
  <c r="S55" i="7"/>
  <c r="P55" i="7"/>
  <c r="G55" i="7"/>
  <c r="S54" i="7"/>
  <c r="R54" i="7"/>
  <c r="Q54" i="7"/>
  <c r="P54" i="7" s="1"/>
  <c r="H54" i="7"/>
  <c r="G54" i="7" s="1"/>
  <c r="S53" i="7"/>
  <c r="R53" i="7"/>
  <c r="Q53" i="7"/>
  <c r="P53" i="7" s="1"/>
  <c r="H53" i="7"/>
  <c r="G53" i="7" s="1"/>
  <c r="T52" i="7"/>
  <c r="S52" i="7" s="1"/>
  <c r="R52" i="7"/>
  <c r="O52" i="7"/>
  <c r="H52" i="7"/>
  <c r="G52" i="7" s="1"/>
  <c r="F52" i="7"/>
  <c r="T51" i="7"/>
  <c r="S51" i="7"/>
  <c r="R51" i="7"/>
  <c r="Q51" i="7"/>
  <c r="P51" i="7" s="1"/>
  <c r="O51" i="7"/>
  <c r="F51" i="7"/>
  <c r="S50" i="7"/>
  <c r="P50" i="7"/>
  <c r="G50" i="7"/>
  <c r="S49" i="7"/>
  <c r="P49" i="7"/>
  <c r="G49" i="7"/>
  <c r="S48" i="7"/>
  <c r="R48" i="7"/>
  <c r="Q48" i="7"/>
  <c r="P48" i="7" s="1"/>
  <c r="H48" i="7"/>
  <c r="G48" i="7" s="1"/>
  <c r="S47" i="7"/>
  <c r="Q47" i="7"/>
  <c r="P47" i="7"/>
  <c r="H47" i="7"/>
  <c r="G47" i="7"/>
  <c r="S46" i="7"/>
  <c r="Q46" i="7"/>
  <c r="P46" i="7" s="1"/>
  <c r="H46" i="7"/>
  <c r="G46" i="7" s="1"/>
  <c r="S45" i="7"/>
  <c r="R45" i="7"/>
  <c r="Q45" i="7"/>
  <c r="P45" i="7" s="1"/>
  <c r="H45" i="7"/>
  <c r="G45" i="7" s="1"/>
  <c r="T44" i="7"/>
  <c r="S44" i="7" s="1"/>
  <c r="R44" i="7"/>
  <c r="O44" i="7"/>
  <c r="H44" i="7"/>
  <c r="G44" i="7" s="1"/>
  <c r="F44" i="7"/>
  <c r="R43" i="7"/>
  <c r="Q43" i="7"/>
  <c r="P43" i="7" s="1"/>
  <c r="O43" i="7"/>
  <c r="O42" i="7" s="1"/>
  <c r="H43" i="7"/>
  <c r="G43" i="7"/>
  <c r="F43" i="7"/>
  <c r="R42" i="7"/>
  <c r="H42" i="7"/>
  <c r="G42" i="7" s="1"/>
  <c r="F42" i="7"/>
  <c r="S41" i="7"/>
  <c r="P41" i="7"/>
  <c r="G41" i="7"/>
  <c r="T40" i="7"/>
  <c r="S40" i="7" s="1"/>
  <c r="R40" i="7"/>
  <c r="Q40" i="7"/>
  <c r="P40" i="7"/>
  <c r="O40" i="7"/>
  <c r="H40" i="7"/>
  <c r="G40" i="7" s="1"/>
  <c r="F40" i="7"/>
  <c r="R39" i="7"/>
  <c r="S39" i="7" s="1"/>
  <c r="Q39" i="7"/>
  <c r="P39" i="7"/>
  <c r="O39" i="7"/>
  <c r="H39" i="7"/>
  <c r="G39" i="7" s="1"/>
  <c r="F39" i="7"/>
  <c r="R38" i="7"/>
  <c r="S38" i="7" s="1"/>
  <c r="Q38" i="7"/>
  <c r="P38" i="7"/>
  <c r="O38" i="7"/>
  <c r="H38" i="7"/>
  <c r="G38" i="7" s="1"/>
  <c r="F38" i="7"/>
  <c r="R37" i="7"/>
  <c r="S37" i="7" s="1"/>
  <c r="Q37" i="7"/>
  <c r="P37" i="7"/>
  <c r="H37" i="7"/>
  <c r="G37" i="7"/>
  <c r="R36" i="7"/>
  <c r="S36" i="7" s="1"/>
  <c r="Q36" i="7"/>
  <c r="P36" i="7"/>
  <c r="O36" i="7"/>
  <c r="H36" i="7"/>
  <c r="G36" i="7" s="1"/>
  <c r="F36" i="7"/>
  <c r="F35" i="7" s="1"/>
  <c r="F31" i="7" s="1"/>
  <c r="T35" i="7"/>
  <c r="Q35" i="7"/>
  <c r="P35" i="7" s="1"/>
  <c r="O35" i="7"/>
  <c r="S34" i="7"/>
  <c r="P34" i="7"/>
  <c r="G34" i="7"/>
  <c r="T33" i="7"/>
  <c r="S33" i="7"/>
  <c r="R33" i="7"/>
  <c r="Q33" i="7"/>
  <c r="P33" i="7" s="1"/>
  <c r="O33" i="7"/>
  <c r="O32" i="7" s="1"/>
  <c r="H33" i="7"/>
  <c r="G33" i="7"/>
  <c r="F33" i="7"/>
  <c r="T32" i="7"/>
  <c r="S32" i="7" s="1"/>
  <c r="R32" i="7"/>
  <c r="H32" i="7"/>
  <c r="G32" i="7" s="1"/>
  <c r="F32" i="7"/>
  <c r="O31" i="7"/>
  <c r="S30" i="7"/>
  <c r="Q30" i="7"/>
  <c r="P30" i="7"/>
  <c r="H30" i="7"/>
  <c r="G30" i="7"/>
  <c r="S29" i="7"/>
  <c r="Q29" i="7"/>
  <c r="P29" i="7" s="1"/>
  <c r="H29" i="7"/>
  <c r="G29" i="7" s="1"/>
  <c r="S28" i="7"/>
  <c r="Q28" i="7"/>
  <c r="P28" i="7"/>
  <c r="H28" i="7"/>
  <c r="G28" i="7"/>
  <c r="R27" i="7"/>
  <c r="S27" i="7" s="1"/>
  <c r="Q27" i="7"/>
  <c r="P27" i="7"/>
  <c r="O27" i="7"/>
  <c r="H27" i="7"/>
  <c r="G27" i="7" s="1"/>
  <c r="F27" i="7"/>
  <c r="F26" i="7" s="1"/>
  <c r="T26" i="7"/>
  <c r="Q26" i="7"/>
  <c r="P26" i="7" s="1"/>
  <c r="O26" i="7"/>
  <c r="O20" i="7" s="1"/>
  <c r="S25" i="7"/>
  <c r="P25" i="7"/>
  <c r="G25" i="7"/>
  <c r="S24" i="7"/>
  <c r="P24" i="7"/>
  <c r="G24" i="7"/>
  <c r="T23" i="7"/>
  <c r="S23" i="7" s="1"/>
  <c r="R23" i="7"/>
  <c r="Q23" i="7"/>
  <c r="P23" i="7"/>
  <c r="O23" i="7"/>
  <c r="H23" i="7"/>
  <c r="G23" i="7" s="1"/>
  <c r="F23" i="7"/>
  <c r="R22" i="7"/>
  <c r="S22" i="7" s="1"/>
  <c r="Q22" i="7"/>
  <c r="P22" i="7"/>
  <c r="O22" i="7"/>
  <c r="H22" i="7"/>
  <c r="G22" i="7" s="1"/>
  <c r="F22" i="7"/>
  <c r="F21" i="7" s="1"/>
  <c r="T21" i="7"/>
  <c r="Q21" i="7"/>
  <c r="P21" i="7" s="1"/>
  <c r="O21" i="7"/>
  <c r="T20" i="7"/>
  <c r="R19" i="7"/>
  <c r="S19" i="7" s="1"/>
  <c r="Q19" i="7"/>
  <c r="P19" i="7"/>
  <c r="O19" i="7"/>
  <c r="H19" i="7"/>
  <c r="H1189" i="7" s="1"/>
  <c r="F19" i="7"/>
  <c r="F18" i="7" s="1"/>
  <c r="F17" i="7" s="1"/>
  <c r="T18" i="7"/>
  <c r="Q18" i="7"/>
  <c r="P18" i="7" s="1"/>
  <c r="O18" i="7"/>
  <c r="O17" i="7" s="1"/>
  <c r="T17" i="7"/>
  <c r="F20" i="7" l="1"/>
  <c r="F16" i="7" s="1"/>
  <c r="O126" i="7"/>
  <c r="O122" i="7"/>
  <c r="O16" i="7" s="1"/>
  <c r="T176" i="7"/>
  <c r="S176" i="7" s="1"/>
  <c r="Q181" i="7"/>
  <c r="P181" i="7" s="1"/>
  <c r="H195" i="7"/>
  <c r="G195" i="7" s="1"/>
  <c r="T195" i="7"/>
  <c r="S195" i="7" s="1"/>
  <c r="Q200" i="7"/>
  <c r="P200" i="7" s="1"/>
  <c r="H203" i="7"/>
  <c r="G203" i="7" s="1"/>
  <c r="T203" i="7"/>
  <c r="S203" i="7" s="1"/>
  <c r="Q204" i="7"/>
  <c r="H207" i="7"/>
  <c r="G207" i="7" s="1"/>
  <c r="T207" i="7"/>
  <c r="S207" i="7" s="1"/>
  <c r="H211" i="7"/>
  <c r="G211" i="7" s="1"/>
  <c r="T211" i="7"/>
  <c r="S211" i="7" s="1"/>
  <c r="Q219" i="7"/>
  <c r="P219" i="7" s="1"/>
  <c r="Q223" i="7"/>
  <c r="P223" i="7" s="1"/>
  <c r="H224" i="7"/>
  <c r="F226" i="7"/>
  <c r="S226" i="7"/>
  <c r="G228" i="7"/>
  <c r="H227" i="7"/>
  <c r="G227" i="7" s="1"/>
  <c r="G232" i="7"/>
  <c r="H231" i="7"/>
  <c r="G231" i="7" s="1"/>
  <c r="Q251" i="7"/>
  <c r="Q252" i="7"/>
  <c r="Q17" i="7"/>
  <c r="H18" i="7"/>
  <c r="R18" i="7"/>
  <c r="G19" i="7"/>
  <c r="Q20" i="7"/>
  <c r="P20" i="7" s="1"/>
  <c r="H21" i="7"/>
  <c r="G21" i="7" s="1"/>
  <c r="R21" i="7"/>
  <c r="S21" i="7" s="1"/>
  <c r="H26" i="7"/>
  <c r="R26" i="7"/>
  <c r="T31" i="7"/>
  <c r="Q32" i="7"/>
  <c r="P32" i="7" s="1"/>
  <c r="H35" i="7"/>
  <c r="R35" i="7"/>
  <c r="Q42" i="7"/>
  <c r="P42" i="7" s="1"/>
  <c r="Q44" i="7"/>
  <c r="H51" i="7"/>
  <c r="G51" i="7" s="1"/>
  <c r="Q52" i="7"/>
  <c r="P52" i="7" s="1"/>
  <c r="Q59" i="7"/>
  <c r="P59" i="7" s="1"/>
  <c r="F62" i="7"/>
  <c r="T62" i="7"/>
  <c r="H67" i="7"/>
  <c r="G67" i="7" s="1"/>
  <c r="T67" i="7"/>
  <c r="S67" i="7" s="1"/>
  <c r="H71" i="7"/>
  <c r="G71" i="7" s="1"/>
  <c r="T71" i="7"/>
  <c r="S71" i="7" s="1"/>
  <c r="Q72" i="7"/>
  <c r="Q81" i="7"/>
  <c r="P81" i="7" s="1"/>
  <c r="H88" i="7"/>
  <c r="G88" i="7" s="1"/>
  <c r="R88" i="7"/>
  <c r="S88" i="7" s="1"/>
  <c r="Q110" i="7"/>
  <c r="P110" i="7" s="1"/>
  <c r="H114" i="7"/>
  <c r="G114" i="7" s="1"/>
  <c r="R114" i="7"/>
  <c r="S114" i="7" s="1"/>
  <c r="Q116" i="7"/>
  <c r="P116" i="7" s="1"/>
  <c r="H119" i="7"/>
  <c r="G119" i="7" s="1"/>
  <c r="T119" i="7"/>
  <c r="S119" i="7" s="1"/>
  <c r="Q120" i="7"/>
  <c r="Q123" i="7"/>
  <c r="P123" i="7" s="1"/>
  <c r="H126" i="7"/>
  <c r="G126" i="7" s="1"/>
  <c r="T126" i="7"/>
  <c r="S126" i="7" s="1"/>
  <c r="Q127" i="7"/>
  <c r="H133" i="7"/>
  <c r="G133" i="7" s="1"/>
  <c r="Q134" i="7"/>
  <c r="P134" i="7" s="1"/>
  <c r="Q136" i="7"/>
  <c r="Q143" i="7"/>
  <c r="P143" i="7" s="1"/>
  <c r="H165" i="7"/>
  <c r="G165" i="7" s="1"/>
  <c r="T165" i="7"/>
  <c r="S165" i="7" s="1"/>
  <c r="G226" i="7"/>
  <c r="S228" i="7"/>
  <c r="T227" i="7"/>
  <c r="S227" i="7" s="1"/>
  <c r="F282" i="7"/>
  <c r="F244" i="7" s="1"/>
  <c r="F283" i="7"/>
  <c r="Q322" i="7"/>
  <c r="P322" i="7" s="1"/>
  <c r="F327" i="7"/>
  <c r="H334" i="7"/>
  <c r="G334" i="7" s="1"/>
  <c r="T334" i="7"/>
  <c r="S334" i="7" s="1"/>
  <c r="O338" i="7"/>
  <c r="O379" i="7"/>
  <c r="O378" i="7"/>
  <c r="T231" i="7"/>
  <c r="S231" i="7" s="1"/>
  <c r="Q232" i="7"/>
  <c r="Q239" i="7"/>
  <c r="P239" i="7" s="1"/>
  <c r="T244" i="7"/>
  <c r="Q245" i="7"/>
  <c r="H246" i="7"/>
  <c r="G246" i="7" s="1"/>
  <c r="T246" i="7"/>
  <c r="S246" i="7" s="1"/>
  <c r="O247" i="7"/>
  <c r="H258" i="7"/>
  <c r="G258" i="7" s="1"/>
  <c r="T258" i="7"/>
  <c r="S258" i="7" s="1"/>
  <c r="H267" i="7"/>
  <c r="G267" i="7" s="1"/>
  <c r="T267" i="7"/>
  <c r="S267" i="7" s="1"/>
  <c r="Q271" i="7"/>
  <c r="P271" i="7" s="1"/>
  <c r="H274" i="7"/>
  <c r="G274" i="7" s="1"/>
  <c r="T274" i="7"/>
  <c r="S274" i="7" s="1"/>
  <c r="Q279" i="7"/>
  <c r="P279" i="7" s="1"/>
  <c r="Q283" i="7"/>
  <c r="P283" i="7" s="1"/>
  <c r="H284" i="7"/>
  <c r="R284" i="7"/>
  <c r="R283" i="7" s="1"/>
  <c r="S283" i="7" s="1"/>
  <c r="H291" i="7"/>
  <c r="H293" i="7"/>
  <c r="G293" i="7" s="1"/>
  <c r="T293" i="7"/>
  <c r="S293" i="7" s="1"/>
  <c r="Q298" i="7"/>
  <c r="P298" i="7" s="1"/>
  <c r="T301" i="7"/>
  <c r="H303" i="7"/>
  <c r="G303" i="7" s="1"/>
  <c r="T303" i="7"/>
  <c r="S303" i="7" s="1"/>
  <c r="O304" i="7"/>
  <c r="H351" i="7"/>
  <c r="G351" i="7" s="1"/>
  <c r="T351" i="7"/>
  <c r="S351" i="7" s="1"/>
  <c r="Q354" i="7"/>
  <c r="P354" i="7" s="1"/>
  <c r="H359" i="7"/>
  <c r="G359" i="7" s="1"/>
  <c r="T359" i="7"/>
  <c r="S359" i="7" s="1"/>
  <c r="H363" i="7"/>
  <c r="G363" i="7" s="1"/>
  <c r="T363" i="7"/>
  <c r="S363" i="7" s="1"/>
  <c r="Q366" i="7"/>
  <c r="P366" i="7" s="1"/>
  <c r="Q370" i="7"/>
  <c r="P370" i="7" s="1"/>
  <c r="R373" i="7"/>
  <c r="H379" i="7"/>
  <c r="G379" i="7" s="1"/>
  <c r="T379" i="7"/>
  <c r="Q380" i="7"/>
  <c r="H382" i="7"/>
  <c r="R382" i="7"/>
  <c r="R379" i="7" s="1"/>
  <c r="Q389" i="7"/>
  <c r="P389" i="7" s="1"/>
  <c r="S393" i="7"/>
  <c r="P394" i="7"/>
  <c r="Q393" i="7"/>
  <c r="P393" i="7" s="1"/>
  <c r="G398" i="7"/>
  <c r="H399" i="7"/>
  <c r="G399" i="7" s="1"/>
  <c r="T399" i="7"/>
  <c r="S399" i="7" s="1"/>
  <c r="Q400" i="7"/>
  <c r="P400" i="7" s="1"/>
  <c r="Q402" i="7"/>
  <c r="Q410" i="7"/>
  <c r="P410" i="7" s="1"/>
  <c r="R411" i="7"/>
  <c r="H414" i="7"/>
  <c r="G414" i="7" s="1"/>
  <c r="T414" i="7"/>
  <c r="S414" i="7" s="1"/>
  <c r="H420" i="7"/>
  <c r="G420" i="7" s="1"/>
  <c r="T420" i="7"/>
  <c r="S420" i="7" s="1"/>
  <c r="H428" i="7"/>
  <c r="G428" i="7" s="1"/>
  <c r="H397" i="7" l="1"/>
  <c r="G382" i="7"/>
  <c r="H378" i="7"/>
  <c r="S379" i="7"/>
  <c r="S373" i="7"/>
  <c r="R370" i="7"/>
  <c r="S370" i="7" s="1"/>
  <c r="R369" i="7"/>
  <c r="O302" i="7"/>
  <c r="P304" i="7"/>
  <c r="O303" i="7"/>
  <c r="P303" i="7" s="1"/>
  <c r="G291" i="7"/>
  <c r="H283" i="7"/>
  <c r="G283" i="7" s="1"/>
  <c r="H282" i="7"/>
  <c r="G284" i="7"/>
  <c r="O245" i="7"/>
  <c r="O244" i="7" s="1"/>
  <c r="P247" i="7"/>
  <c r="O246" i="7"/>
  <c r="P246" i="7" s="1"/>
  <c r="P338" i="7"/>
  <c r="O334" i="7"/>
  <c r="P334" i="7" s="1"/>
  <c r="O321" i="7"/>
  <c r="P321" i="7" s="1"/>
  <c r="P127" i="7"/>
  <c r="Q126" i="7"/>
  <c r="P126" i="7" s="1"/>
  <c r="Q122" i="7"/>
  <c r="P122" i="7" s="1"/>
  <c r="P120" i="7"/>
  <c r="Q119" i="7"/>
  <c r="P119" i="7" s="1"/>
  <c r="P72" i="7"/>
  <c r="Q71" i="7"/>
  <c r="P71" i="7" s="1"/>
  <c r="Q62" i="7"/>
  <c r="P62" i="7" s="1"/>
  <c r="R62" i="7"/>
  <c r="P44" i="7"/>
  <c r="Q31" i="7"/>
  <c r="P31" i="7" s="1"/>
  <c r="R31" i="7"/>
  <c r="S35" i="7"/>
  <c r="R20" i="7"/>
  <c r="S20" i="7" s="1"/>
  <c r="S26" i="7"/>
  <c r="S18" i="7"/>
  <c r="R17" i="7"/>
  <c r="P17" i="7"/>
  <c r="G224" i="7"/>
  <c r="H223" i="7"/>
  <c r="G223" i="7" s="1"/>
  <c r="H222" i="7"/>
  <c r="G222" i="7" s="1"/>
  <c r="R409" i="7"/>
  <c r="S411" i="7"/>
  <c r="R410" i="7"/>
  <c r="S410" i="7" s="1"/>
  <c r="Q398" i="7"/>
  <c r="P402" i="7"/>
  <c r="Q399" i="7"/>
  <c r="P399" i="7" s="1"/>
  <c r="T397" i="7"/>
  <c r="G397" i="7"/>
  <c r="S382" i="7"/>
  <c r="R378" i="7"/>
  <c r="S378" i="7" s="1"/>
  <c r="P380" i="7"/>
  <c r="Q379" i="7"/>
  <c r="P379" i="7" s="1"/>
  <c r="Q378" i="7"/>
  <c r="R282" i="7"/>
  <c r="S284" i="7"/>
  <c r="P245" i="7"/>
  <c r="P244" i="7" s="1"/>
  <c r="Q244" i="7"/>
  <c r="Q230" i="7"/>
  <c r="P230" i="7" s="1"/>
  <c r="Q231" i="7"/>
  <c r="P231" i="7" s="1"/>
  <c r="P232" i="7"/>
  <c r="G327" i="7"/>
  <c r="F321" i="7"/>
  <c r="Q132" i="7"/>
  <c r="P132" i="7" s="1"/>
  <c r="P136" i="7"/>
  <c r="Q133" i="7"/>
  <c r="P133" i="7" s="1"/>
  <c r="S62" i="7"/>
  <c r="H62" i="7"/>
  <c r="G62" i="7" s="1"/>
  <c r="H31" i="7"/>
  <c r="G31" i="7" s="1"/>
  <c r="G35" i="7"/>
  <c r="S31" i="7"/>
  <c r="H20" i="7"/>
  <c r="G20" i="7" s="1"/>
  <c r="G26" i="7"/>
  <c r="G18" i="7"/>
  <c r="H17" i="7"/>
  <c r="T16" i="7"/>
  <c r="T443" i="7" s="1"/>
  <c r="P204" i="7"/>
  <c r="Q203" i="7"/>
  <c r="P203" i="7" s="1"/>
  <c r="I512" i="5"/>
  <c r="G17" i="7" l="1"/>
  <c r="G16" i="7" s="1"/>
  <c r="H16" i="7"/>
  <c r="F301" i="7"/>
  <c r="F443" i="7" s="1"/>
  <c r="G321" i="7"/>
  <c r="S282" i="7"/>
  <c r="S244" i="7" s="1"/>
  <c r="R244" i="7"/>
  <c r="P398" i="7"/>
  <c r="P397" i="7" s="1"/>
  <c r="Q397" i="7"/>
  <c r="P16" i="7"/>
  <c r="P302" i="7"/>
  <c r="O301" i="7"/>
  <c r="O443" i="7" s="1"/>
  <c r="P378" i="7"/>
  <c r="Q301" i="7"/>
  <c r="S409" i="7"/>
  <c r="S397" i="7" s="1"/>
  <c r="R397" i="7"/>
  <c r="Q16" i="7"/>
  <c r="R16" i="7"/>
  <c r="S17" i="7"/>
  <c r="S16" i="7" s="1"/>
  <c r="G282" i="7"/>
  <c r="G244" i="7" s="1"/>
  <c r="H244" i="7"/>
  <c r="S369" i="7"/>
  <c r="S301" i="7" s="1"/>
  <c r="R301" i="7"/>
  <c r="G378" i="7"/>
  <c r="H301" i="7"/>
  <c r="R443" i="7" l="1"/>
  <c r="R447" i="7" s="1"/>
  <c r="S443" i="7"/>
  <c r="Q443" i="7"/>
  <c r="Q447" i="7" s="1"/>
  <c r="P301" i="7"/>
  <c r="P443" i="7" s="1"/>
  <c r="G301" i="7"/>
  <c r="G443" i="7" s="1"/>
  <c r="H443" i="7"/>
  <c r="H447" i="7" s="1"/>
  <c r="I593" i="5" l="1"/>
  <c r="I388" i="5"/>
  <c r="H598" i="5" l="1"/>
  <c r="I392" i="5" l="1"/>
  <c r="I391" i="5" l="1"/>
  <c r="I327" i="5"/>
  <c r="I387" i="5"/>
  <c r="J1340" i="5"/>
  <c r="I386" i="5" l="1"/>
  <c r="I18" i="5"/>
  <c r="I395" i="5"/>
  <c r="I511" i="5" l="1"/>
  <c r="I394" i="5"/>
  <c r="K503" i="6" l="1"/>
  <c r="K505" i="6"/>
  <c r="K502" i="6"/>
  <c r="K508" i="6"/>
  <c r="K510" i="6"/>
  <c r="K507" i="6"/>
  <c r="K516" i="6"/>
  <c r="K518" i="6"/>
  <c r="K515" i="6"/>
  <c r="K521" i="6"/>
  <c r="K523" i="6"/>
  <c r="K525" i="6"/>
  <c r="K527" i="6"/>
  <c r="K533" i="6"/>
  <c r="K535" i="6"/>
  <c r="K539" i="6"/>
  <c r="K529" i="6"/>
  <c r="K552" i="6"/>
  <c r="K531" i="6"/>
  <c r="K537" i="6"/>
  <c r="K541" i="6"/>
  <c r="K520" i="6"/>
  <c r="K544" i="6"/>
  <c r="K543" i="6"/>
  <c r="K555" i="6"/>
  <c r="K554" i="6"/>
  <c r="K558" i="6"/>
  <c r="K560" i="6"/>
  <c r="K557" i="6"/>
  <c r="K565" i="6"/>
  <c r="K562" i="6"/>
  <c r="K567" i="6"/>
  <c r="K563" i="6"/>
  <c r="K569" i="6"/>
  <c r="K575" i="6"/>
  <c r="K573" i="6"/>
  <c r="K572" i="6"/>
  <c r="J572" i="6"/>
  <c r="K513" i="6"/>
  <c r="K512" i="6"/>
  <c r="J512" i="6"/>
  <c r="K547" i="6"/>
  <c r="K546" i="6"/>
  <c r="J546" i="6"/>
  <c r="K550" i="6"/>
  <c r="K549" i="6"/>
  <c r="J549" i="6"/>
  <c r="K578" i="6"/>
  <c r="K580" i="6"/>
  <c r="K577" i="6"/>
  <c r="K583" i="6"/>
  <c r="K585" i="6"/>
  <c r="K582" i="6"/>
  <c r="J582" i="6"/>
  <c r="L503" i="6"/>
  <c r="L505" i="6"/>
  <c r="L502" i="6"/>
  <c r="L508" i="6"/>
  <c r="L510" i="6"/>
  <c r="L507" i="6"/>
  <c r="L516" i="6"/>
  <c r="L518" i="6"/>
  <c r="L515" i="6"/>
  <c r="L521" i="6"/>
  <c r="L523" i="6"/>
  <c r="L525" i="6"/>
  <c r="L527" i="6"/>
  <c r="L533" i="6"/>
  <c r="L535" i="6"/>
  <c r="L539" i="6"/>
  <c r="L529" i="6"/>
  <c r="L552" i="6"/>
  <c r="L531" i="6"/>
  <c r="L537" i="6"/>
  <c r="L541" i="6"/>
  <c r="L520" i="6"/>
  <c r="L544" i="6"/>
  <c r="L543" i="6"/>
  <c r="L555" i="6"/>
  <c r="L554" i="6"/>
  <c r="L558" i="6"/>
  <c r="L560" i="6"/>
  <c r="L557" i="6"/>
  <c r="L565" i="6"/>
  <c r="L562" i="6"/>
  <c r="L567" i="6"/>
  <c r="L563" i="6"/>
  <c r="L569" i="6"/>
  <c r="L575" i="6"/>
  <c r="L573" i="6"/>
  <c r="L572" i="6"/>
  <c r="L513" i="6"/>
  <c r="L512" i="6"/>
  <c r="L547" i="6"/>
  <c r="L546" i="6"/>
  <c r="L550" i="6"/>
  <c r="L549" i="6"/>
  <c r="L578" i="6"/>
  <c r="L580" i="6"/>
  <c r="L577" i="6"/>
  <c r="L583" i="6"/>
  <c r="L585" i="6"/>
  <c r="L582" i="6"/>
  <c r="I503" i="6"/>
  <c r="I505" i="6"/>
  <c r="I502" i="6"/>
  <c r="I508" i="6"/>
  <c r="I510" i="6"/>
  <c r="I507" i="6"/>
  <c r="I516" i="6"/>
  <c r="I518" i="6"/>
  <c r="I515" i="6"/>
  <c r="I521" i="6"/>
  <c r="I523" i="6"/>
  <c r="I525" i="6"/>
  <c r="I527" i="6"/>
  <c r="I533" i="6"/>
  <c r="I535" i="6"/>
  <c r="I539" i="6"/>
  <c r="I529" i="6"/>
  <c r="I552" i="6"/>
  <c r="I531" i="6"/>
  <c r="I537" i="6"/>
  <c r="I541" i="6"/>
  <c r="I520" i="6"/>
  <c r="I544" i="6"/>
  <c r="I543" i="6"/>
  <c r="I555" i="6"/>
  <c r="I554" i="6"/>
  <c r="I558" i="6"/>
  <c r="I560" i="6"/>
  <c r="I557" i="6"/>
  <c r="I565" i="6"/>
  <c r="I562" i="6"/>
  <c r="I567" i="6"/>
  <c r="I563" i="6"/>
  <c r="I570" i="6"/>
  <c r="I569" i="6"/>
  <c r="J569" i="6"/>
  <c r="I575" i="6"/>
  <c r="I573" i="6"/>
  <c r="I572" i="6"/>
  <c r="I513" i="6"/>
  <c r="I512" i="6"/>
  <c r="I547" i="6"/>
  <c r="I546" i="6"/>
  <c r="I550" i="6"/>
  <c r="I549" i="6"/>
  <c r="I578" i="6"/>
  <c r="I580" i="6"/>
  <c r="I577" i="6"/>
  <c r="J577" i="6"/>
  <c r="I583" i="6"/>
  <c r="I585" i="6"/>
  <c r="I582" i="6"/>
  <c r="K52" i="6"/>
  <c r="K54" i="6"/>
  <c r="K62" i="6"/>
  <c r="K58" i="6"/>
  <c r="K60" i="6"/>
  <c r="K56" i="6"/>
  <c r="K48" i="6"/>
  <c r="K50" i="6"/>
  <c r="K47" i="6"/>
  <c r="K43" i="6"/>
  <c r="K45" i="6"/>
  <c r="K42" i="6"/>
  <c r="J42" i="6"/>
  <c r="K40" i="6"/>
  <c r="K39" i="6"/>
  <c r="J39" i="6"/>
  <c r="K19" i="6"/>
  <c r="K21" i="6"/>
  <c r="K25" i="6"/>
  <c r="K27" i="6"/>
  <c r="K29" i="6"/>
  <c r="K31" i="6"/>
  <c r="K23" i="6"/>
  <c r="K33" i="6"/>
  <c r="K35" i="6"/>
  <c r="K37" i="6"/>
  <c r="K18" i="6"/>
  <c r="K11" i="6"/>
  <c r="K10" i="6"/>
  <c r="K14" i="6"/>
  <c r="K16" i="6"/>
  <c r="K13" i="6"/>
  <c r="K67" i="6"/>
  <c r="K71" i="6"/>
  <c r="K75" i="6"/>
  <c r="K65" i="6"/>
  <c r="K69" i="6"/>
  <c r="K73" i="6"/>
  <c r="K64" i="6"/>
  <c r="K78" i="6"/>
  <c r="K77" i="6"/>
  <c r="K81" i="6"/>
  <c r="K86" i="6"/>
  <c r="K80" i="6"/>
  <c r="K89" i="6"/>
  <c r="K91" i="6"/>
  <c r="K99" i="6"/>
  <c r="K101" i="6"/>
  <c r="K88" i="6"/>
  <c r="J88" i="6"/>
  <c r="K103" i="6"/>
  <c r="K105" i="6"/>
  <c r="K93" i="6"/>
  <c r="K95" i="6"/>
  <c r="K97" i="6"/>
  <c r="K107" i="6"/>
  <c r="K125" i="6"/>
  <c r="K119" i="6"/>
  <c r="K121" i="6"/>
  <c r="K129" i="6"/>
  <c r="K111" i="6"/>
  <c r="K113" i="6"/>
  <c r="K115" i="6"/>
  <c r="K117" i="6"/>
  <c r="K123" i="6"/>
  <c r="K127" i="6"/>
  <c r="K110" i="6"/>
  <c r="K134" i="6"/>
  <c r="K138" i="6"/>
  <c r="K131" i="6"/>
  <c r="J131" i="6"/>
  <c r="K136" i="6"/>
  <c r="K132" i="6"/>
  <c r="K141" i="6"/>
  <c r="K143" i="6"/>
  <c r="K140" i="6"/>
  <c r="K146" i="6"/>
  <c r="K145" i="6"/>
  <c r="K149" i="6"/>
  <c r="K148" i="6"/>
  <c r="K152" i="6"/>
  <c r="K154" i="6"/>
  <c r="K151" i="6"/>
  <c r="J151" i="6"/>
  <c r="K157" i="6"/>
  <c r="K156" i="6"/>
  <c r="J156" i="6"/>
  <c r="K159" i="6"/>
  <c r="K161" i="6"/>
  <c r="K166" i="6"/>
  <c r="K164" i="6"/>
  <c r="K163" i="6"/>
  <c r="K169" i="6"/>
  <c r="K171" i="6"/>
  <c r="K168" i="6"/>
  <c r="J168" i="6"/>
  <c r="K174" i="6"/>
  <c r="K176" i="6"/>
  <c r="K173" i="6"/>
  <c r="K179" i="6"/>
  <c r="K195" i="6"/>
  <c r="K181" i="6"/>
  <c r="K191" i="6"/>
  <c r="K183" i="6"/>
  <c r="K185" i="6"/>
  <c r="K187" i="6"/>
  <c r="K189" i="6"/>
  <c r="K199" i="6"/>
  <c r="K193" i="6"/>
  <c r="K197" i="6"/>
  <c r="K178" i="6"/>
  <c r="K202" i="6"/>
  <c r="K204" i="6"/>
  <c r="K201" i="6"/>
  <c r="J201" i="6"/>
  <c r="K211" i="6"/>
  <c r="K215" i="6"/>
  <c r="K210" i="6"/>
  <c r="K217" i="6"/>
  <c r="K219" i="6"/>
  <c r="K213" i="6"/>
  <c r="K221" i="6"/>
  <c r="K223" i="6"/>
  <c r="K225" i="6"/>
  <c r="K228" i="6"/>
  <c r="K227" i="6"/>
  <c r="J227" i="6"/>
  <c r="K230" i="6"/>
  <c r="K232" i="6"/>
  <c r="K234" i="6"/>
  <c r="K240" i="6"/>
  <c r="K242" i="6"/>
  <c r="K244" i="6"/>
  <c r="K250" i="6"/>
  <c r="K256" i="6"/>
  <c r="K236" i="6"/>
  <c r="K238" i="6"/>
  <c r="K248" i="6"/>
  <c r="K254" i="6"/>
  <c r="K246" i="6"/>
  <c r="K252" i="6"/>
  <c r="K259" i="6"/>
  <c r="K261" i="6"/>
  <c r="K263" i="6"/>
  <c r="K265" i="6"/>
  <c r="K258" i="6"/>
  <c r="K268" i="6"/>
  <c r="K270" i="6"/>
  <c r="K267" i="6"/>
  <c r="J267" i="6"/>
  <c r="K272" i="6"/>
  <c r="K274" i="6"/>
  <c r="K277" i="6"/>
  <c r="K276" i="6"/>
  <c r="J276" i="6"/>
  <c r="K283" i="6"/>
  <c r="K289" i="6"/>
  <c r="K285" i="6"/>
  <c r="K293" i="6"/>
  <c r="K281" i="6"/>
  <c r="K291" i="6"/>
  <c r="K279" i="6"/>
  <c r="K287" i="6"/>
  <c r="K208" i="6"/>
  <c r="K207" i="6"/>
  <c r="J207" i="6"/>
  <c r="K297" i="6"/>
  <c r="K299" i="6"/>
  <c r="K296" i="6"/>
  <c r="K301" i="6"/>
  <c r="K303" i="6"/>
  <c r="K305" i="6"/>
  <c r="K307" i="6"/>
  <c r="K310" i="6"/>
  <c r="K312" i="6"/>
  <c r="K316" i="6"/>
  <c r="K318" i="6"/>
  <c r="K328" i="6"/>
  <c r="K334" i="6"/>
  <c r="K342" i="6"/>
  <c r="K346" i="6"/>
  <c r="K348" i="6"/>
  <c r="K320" i="6"/>
  <c r="K324" i="6"/>
  <c r="K330" i="6"/>
  <c r="K340" i="6"/>
  <c r="K344" i="6"/>
  <c r="K354" i="6"/>
  <c r="K314" i="6"/>
  <c r="K322" i="6"/>
  <c r="K332" i="6"/>
  <c r="K338" i="6"/>
  <c r="K326" i="6"/>
  <c r="K336" i="6"/>
  <c r="K356" i="6"/>
  <c r="K350" i="6"/>
  <c r="K352" i="6"/>
  <c r="K309" i="6"/>
  <c r="K359" i="6"/>
  <c r="K363" i="6"/>
  <c r="K365" i="6"/>
  <c r="K367" i="6"/>
  <c r="K369" i="6"/>
  <c r="K361" i="6"/>
  <c r="K371" i="6"/>
  <c r="K373" i="6"/>
  <c r="K375" i="6"/>
  <c r="K358" i="6"/>
  <c r="K378" i="6"/>
  <c r="K377" i="6"/>
  <c r="K384" i="6"/>
  <c r="K381" i="6"/>
  <c r="K386" i="6"/>
  <c r="K390" i="6"/>
  <c r="K392" i="6"/>
  <c r="K394" i="6"/>
  <c r="K396" i="6"/>
  <c r="K398" i="6"/>
  <c r="K408" i="6"/>
  <c r="K412" i="6"/>
  <c r="K416" i="6"/>
  <c r="K422" i="6"/>
  <c r="K424" i="6"/>
  <c r="K432" i="6"/>
  <c r="K400" i="6"/>
  <c r="K402" i="6"/>
  <c r="K404" i="6"/>
  <c r="K406" i="6"/>
  <c r="K414" i="6"/>
  <c r="K418" i="6"/>
  <c r="K426" i="6"/>
  <c r="K436" i="6"/>
  <c r="K442" i="6"/>
  <c r="K446" i="6"/>
  <c r="K450" i="6"/>
  <c r="K388" i="6"/>
  <c r="K410" i="6"/>
  <c r="K420" i="6"/>
  <c r="K428" i="6"/>
  <c r="K430" i="6"/>
  <c r="K382" i="6"/>
  <c r="K434" i="6"/>
  <c r="K438" i="6"/>
  <c r="K440" i="6"/>
  <c r="K444" i="6"/>
  <c r="K448" i="6"/>
  <c r="K459" i="6"/>
  <c r="K458" i="6"/>
  <c r="J458" i="6"/>
  <c r="K461" i="6"/>
  <c r="K463" i="6"/>
  <c r="K465" i="6"/>
  <c r="K473" i="6"/>
  <c r="K467" i="6"/>
  <c r="K469" i="6"/>
  <c r="K471" i="6"/>
  <c r="K475" i="6"/>
  <c r="K477" i="6"/>
  <c r="K481" i="6"/>
  <c r="K479" i="6"/>
  <c r="K483" i="6"/>
  <c r="K489" i="6"/>
  <c r="K491" i="6"/>
  <c r="K495" i="6"/>
  <c r="K497" i="6"/>
  <c r="K499" i="6"/>
  <c r="K493" i="6"/>
  <c r="K488" i="6"/>
  <c r="K453" i="6"/>
  <c r="K452" i="6"/>
  <c r="K456" i="6"/>
  <c r="K455" i="6"/>
  <c r="K486" i="6"/>
  <c r="K485" i="6"/>
  <c r="K589" i="6"/>
  <c r="K588" i="6"/>
  <c r="K606" i="6"/>
  <c r="K608" i="6"/>
  <c r="K604" i="6"/>
  <c r="K598" i="6"/>
  <c r="K600" i="6"/>
  <c r="K602" i="6"/>
  <c r="K597" i="6"/>
  <c r="K611" i="6"/>
  <c r="K613" i="6"/>
  <c r="K615" i="6"/>
  <c r="K610" i="6"/>
  <c r="K618" i="6"/>
  <c r="K632" i="6"/>
  <c r="K617" i="6"/>
  <c r="J617" i="6"/>
  <c r="K634" i="6"/>
  <c r="K626" i="6"/>
  <c r="K628" i="6"/>
  <c r="K630" i="6"/>
  <c r="K620" i="6"/>
  <c r="K636" i="6"/>
  <c r="K622" i="6"/>
  <c r="K624" i="6"/>
  <c r="K644" i="6"/>
  <c r="K643" i="6"/>
  <c r="J643" i="6"/>
  <c r="K647" i="6"/>
  <c r="K649" i="6"/>
  <c r="K646" i="6"/>
  <c r="K639" i="6"/>
  <c r="K641" i="6"/>
  <c r="K638" i="6"/>
  <c r="J638" i="6"/>
  <c r="K592" i="6"/>
  <c r="K591" i="6"/>
  <c r="J591" i="6"/>
  <c r="K595" i="6"/>
  <c r="K594" i="6"/>
  <c r="J594" i="6"/>
  <c r="K653" i="6"/>
  <c r="K657" i="6"/>
  <c r="K652" i="6"/>
  <c r="K679" i="6"/>
  <c r="K665" i="6"/>
  <c r="K673" i="6"/>
  <c r="K675" i="6"/>
  <c r="K677" i="6"/>
  <c r="K655" i="6"/>
  <c r="K659" i="6"/>
  <c r="K669" i="6"/>
  <c r="K671" i="6"/>
  <c r="K661" i="6"/>
  <c r="K663" i="6"/>
  <c r="K667" i="6"/>
  <c r="K682" i="6"/>
  <c r="K684" i="6"/>
  <c r="K681" i="6"/>
  <c r="K695" i="6"/>
  <c r="K699" i="6"/>
  <c r="K705" i="6"/>
  <c r="K707" i="6"/>
  <c r="K697" i="6"/>
  <c r="K701" i="6"/>
  <c r="K703" i="6"/>
  <c r="K709" i="6"/>
  <c r="K711" i="6"/>
  <c r="K713" i="6"/>
  <c r="K687" i="6"/>
  <c r="K693" i="6"/>
  <c r="K715" i="6"/>
  <c r="K689" i="6"/>
  <c r="K691" i="6"/>
  <c r="K686" i="6"/>
  <c r="K718" i="6"/>
  <c r="K720" i="6"/>
  <c r="K722" i="6"/>
  <c r="K724" i="6"/>
  <c r="K726" i="6"/>
  <c r="K728" i="6"/>
  <c r="K730" i="6"/>
  <c r="K740" i="6"/>
  <c r="K742" i="6"/>
  <c r="K744" i="6"/>
  <c r="K746" i="6"/>
  <c r="K748" i="6"/>
  <c r="K766" i="6"/>
  <c r="K768" i="6"/>
  <c r="K770" i="6"/>
  <c r="K772" i="6"/>
  <c r="K764" i="6"/>
  <c r="K750" i="6"/>
  <c r="K754" i="6"/>
  <c r="K758" i="6"/>
  <c r="K762" i="6"/>
  <c r="K732" i="6"/>
  <c r="K734" i="6"/>
  <c r="K736" i="6"/>
  <c r="K738" i="6"/>
  <c r="K752" i="6"/>
  <c r="K756" i="6"/>
  <c r="K760" i="6"/>
  <c r="K774" i="6"/>
  <c r="K717" i="6"/>
  <c r="K779" i="6"/>
  <c r="K781" i="6"/>
  <c r="K785" i="6"/>
  <c r="K783" i="6"/>
  <c r="K777" i="6"/>
  <c r="K776" i="6"/>
  <c r="L473" i="6"/>
  <c r="L475" i="6"/>
  <c r="L459" i="6"/>
  <c r="L461" i="6"/>
  <c r="L463" i="6"/>
  <c r="L465" i="6"/>
  <c r="L467" i="6"/>
  <c r="L469" i="6"/>
  <c r="L471" i="6"/>
  <c r="L477" i="6"/>
  <c r="L481" i="6"/>
  <c r="L479" i="6"/>
  <c r="L483" i="6"/>
  <c r="L458" i="6"/>
  <c r="L384" i="6"/>
  <c r="L386" i="6"/>
  <c r="L390" i="6"/>
  <c r="L392" i="6"/>
  <c r="L394" i="6"/>
  <c r="L396" i="6"/>
  <c r="L398" i="6"/>
  <c r="L408" i="6"/>
  <c r="L412" i="6"/>
  <c r="L416" i="6"/>
  <c r="L422" i="6"/>
  <c r="L424" i="6"/>
  <c r="L432" i="6"/>
  <c r="L400" i="6"/>
  <c r="L402" i="6"/>
  <c r="L404" i="6"/>
  <c r="L406" i="6"/>
  <c r="L414" i="6"/>
  <c r="L418" i="6"/>
  <c r="L426" i="6"/>
  <c r="L436" i="6"/>
  <c r="L442" i="6"/>
  <c r="L446" i="6"/>
  <c r="L450" i="6"/>
  <c r="L388" i="6"/>
  <c r="L410" i="6"/>
  <c r="L420" i="6"/>
  <c r="L428" i="6"/>
  <c r="L430" i="6"/>
  <c r="L382" i="6"/>
  <c r="L434" i="6"/>
  <c r="L438" i="6"/>
  <c r="L440" i="6"/>
  <c r="L444" i="6"/>
  <c r="L448" i="6"/>
  <c r="L381" i="6"/>
  <c r="L489" i="6"/>
  <c r="L491" i="6"/>
  <c r="L488" i="6"/>
  <c r="L495" i="6"/>
  <c r="L497" i="6"/>
  <c r="L499" i="6"/>
  <c r="L493" i="6"/>
  <c r="L453" i="6"/>
  <c r="L452" i="6"/>
  <c r="L456" i="6"/>
  <c r="L455" i="6"/>
  <c r="L486" i="6"/>
  <c r="L485" i="6"/>
  <c r="L11" i="6"/>
  <c r="L10" i="6"/>
  <c r="L14" i="6"/>
  <c r="L16" i="6"/>
  <c r="L13" i="6"/>
  <c r="L19" i="6"/>
  <c r="L21" i="6"/>
  <c r="L25" i="6"/>
  <c r="L27" i="6"/>
  <c r="L29" i="6"/>
  <c r="L31" i="6"/>
  <c r="L23" i="6"/>
  <c r="L33" i="6"/>
  <c r="L35" i="6"/>
  <c r="L37" i="6"/>
  <c r="L18" i="6"/>
  <c r="L40" i="6"/>
  <c r="L39" i="6"/>
  <c r="L43" i="6"/>
  <c r="L45" i="6"/>
  <c r="L42" i="6"/>
  <c r="L52" i="6"/>
  <c r="L54" i="6"/>
  <c r="L62" i="6"/>
  <c r="L58" i="6"/>
  <c r="L60" i="6"/>
  <c r="L56" i="6"/>
  <c r="L48" i="6"/>
  <c r="L50" i="6"/>
  <c r="L47" i="6"/>
  <c r="L67" i="6"/>
  <c r="L71" i="6"/>
  <c r="L64" i="6"/>
  <c r="L75" i="6"/>
  <c r="L65" i="6"/>
  <c r="L69" i="6"/>
  <c r="L73" i="6"/>
  <c r="L78" i="6"/>
  <c r="L77" i="6"/>
  <c r="L81" i="6"/>
  <c r="L86" i="6"/>
  <c r="L80" i="6"/>
  <c r="L89" i="6"/>
  <c r="L91" i="6"/>
  <c r="L88" i="6"/>
  <c r="L99" i="6"/>
  <c r="L101" i="6"/>
  <c r="L103" i="6"/>
  <c r="L105" i="6"/>
  <c r="L93" i="6"/>
  <c r="L95" i="6"/>
  <c r="L97" i="6"/>
  <c r="L107" i="6"/>
  <c r="L125" i="6"/>
  <c r="L119" i="6"/>
  <c r="L121" i="6"/>
  <c r="L129" i="6"/>
  <c r="L111" i="6"/>
  <c r="L113" i="6"/>
  <c r="L115" i="6"/>
  <c r="L117" i="6"/>
  <c r="L123" i="6"/>
  <c r="L127" i="6"/>
  <c r="L110" i="6"/>
  <c r="L134" i="6"/>
  <c r="L138" i="6"/>
  <c r="L131" i="6"/>
  <c r="L136" i="6"/>
  <c r="L132" i="6"/>
  <c r="L141" i="6"/>
  <c r="L143" i="6"/>
  <c r="L140" i="6"/>
  <c r="L146" i="6"/>
  <c r="L145" i="6"/>
  <c r="L149" i="6"/>
  <c r="L148" i="6"/>
  <c r="L152" i="6"/>
  <c r="L154" i="6"/>
  <c r="L151" i="6"/>
  <c r="L157" i="6"/>
  <c r="L156" i="6"/>
  <c r="L159" i="6"/>
  <c r="L161" i="6"/>
  <c r="L166" i="6"/>
  <c r="L164" i="6"/>
  <c r="L163" i="6"/>
  <c r="L169" i="6"/>
  <c r="L171" i="6"/>
  <c r="L168" i="6"/>
  <c r="L174" i="6"/>
  <c r="L176" i="6"/>
  <c r="L173" i="6"/>
  <c r="L179" i="6"/>
  <c r="L195" i="6"/>
  <c r="L181" i="6"/>
  <c r="L191" i="6"/>
  <c r="L183" i="6"/>
  <c r="L185" i="6"/>
  <c r="L187" i="6"/>
  <c r="L189" i="6"/>
  <c r="L199" i="6"/>
  <c r="L193" i="6"/>
  <c r="L197" i="6"/>
  <c r="L178" i="6"/>
  <c r="L202" i="6"/>
  <c r="L204" i="6"/>
  <c r="L201" i="6"/>
  <c r="L211" i="6"/>
  <c r="L215" i="6"/>
  <c r="L210" i="6"/>
  <c r="L217" i="6"/>
  <c r="L219" i="6"/>
  <c r="L213" i="6"/>
  <c r="L221" i="6"/>
  <c r="L223" i="6"/>
  <c r="L225" i="6"/>
  <c r="L228" i="6"/>
  <c r="L227" i="6"/>
  <c r="L230" i="6"/>
  <c r="L232" i="6"/>
  <c r="L234" i="6"/>
  <c r="L240" i="6"/>
  <c r="L242" i="6"/>
  <c r="L244" i="6"/>
  <c r="L250" i="6"/>
  <c r="L256" i="6"/>
  <c r="L236" i="6"/>
  <c r="L238" i="6"/>
  <c r="L248" i="6"/>
  <c r="L254" i="6"/>
  <c r="L246" i="6"/>
  <c r="L252" i="6"/>
  <c r="L259" i="6"/>
  <c r="L261" i="6"/>
  <c r="L263" i="6"/>
  <c r="L265" i="6"/>
  <c r="L258" i="6"/>
  <c r="L268" i="6"/>
  <c r="L270" i="6"/>
  <c r="L267" i="6"/>
  <c r="L272" i="6"/>
  <c r="L274" i="6"/>
  <c r="L277" i="6"/>
  <c r="L276" i="6"/>
  <c r="L283" i="6"/>
  <c r="L289" i="6"/>
  <c r="L285" i="6"/>
  <c r="L293" i="6"/>
  <c r="L281" i="6"/>
  <c r="L291" i="6"/>
  <c r="L279" i="6"/>
  <c r="L287" i="6"/>
  <c r="L208" i="6"/>
  <c r="L207" i="6"/>
  <c r="L297" i="6"/>
  <c r="L299" i="6"/>
  <c r="L296" i="6"/>
  <c r="L295" i="6"/>
  <c r="L301" i="6"/>
  <c r="L303" i="6"/>
  <c r="L305" i="6"/>
  <c r="L307" i="6"/>
  <c r="L310" i="6"/>
  <c r="L312" i="6"/>
  <c r="L316" i="6"/>
  <c r="L318" i="6"/>
  <c r="L328" i="6"/>
  <c r="L334" i="6"/>
  <c r="L342" i="6"/>
  <c r="L346" i="6"/>
  <c r="L348" i="6"/>
  <c r="L320" i="6"/>
  <c r="L324" i="6"/>
  <c r="L330" i="6"/>
  <c r="L340" i="6"/>
  <c r="L344" i="6"/>
  <c r="L354" i="6"/>
  <c r="L314" i="6"/>
  <c r="L322" i="6"/>
  <c r="L332" i="6"/>
  <c r="L338" i="6"/>
  <c r="L326" i="6"/>
  <c r="L336" i="6"/>
  <c r="L356" i="6"/>
  <c r="L350" i="6"/>
  <c r="L352" i="6"/>
  <c r="L309" i="6"/>
  <c r="L359" i="6"/>
  <c r="L363" i="6"/>
  <c r="L365" i="6"/>
  <c r="L367" i="6"/>
  <c r="L369" i="6"/>
  <c r="L361" i="6"/>
  <c r="L371" i="6"/>
  <c r="L373" i="6"/>
  <c r="L375" i="6"/>
  <c r="L358" i="6"/>
  <c r="L378" i="6"/>
  <c r="L377" i="6"/>
  <c r="L589" i="6"/>
  <c r="L588" i="6"/>
  <c r="L606" i="6"/>
  <c r="L608" i="6"/>
  <c r="L604" i="6"/>
  <c r="L598" i="6"/>
  <c r="L600" i="6"/>
  <c r="L602" i="6"/>
  <c r="L597" i="6"/>
  <c r="L611" i="6"/>
  <c r="L613" i="6"/>
  <c r="L615" i="6"/>
  <c r="L610" i="6"/>
  <c r="L618" i="6"/>
  <c r="L632" i="6"/>
  <c r="L617" i="6"/>
  <c r="L634" i="6"/>
  <c r="L626" i="6"/>
  <c r="L628" i="6"/>
  <c r="L630" i="6"/>
  <c r="L620" i="6"/>
  <c r="L636" i="6"/>
  <c r="L622" i="6"/>
  <c r="L624" i="6"/>
  <c r="L644" i="6"/>
  <c r="L643" i="6"/>
  <c r="L647" i="6"/>
  <c r="L649" i="6"/>
  <c r="L646" i="6"/>
  <c r="L639" i="6"/>
  <c r="L641" i="6"/>
  <c r="L638" i="6"/>
  <c r="L592" i="6"/>
  <c r="L591" i="6"/>
  <c r="L595" i="6"/>
  <c r="L594" i="6"/>
  <c r="L653" i="6"/>
  <c r="L657" i="6"/>
  <c r="L652" i="6"/>
  <c r="L651" i="6"/>
  <c r="L679" i="6"/>
  <c r="L665" i="6"/>
  <c r="L673" i="6"/>
  <c r="L675" i="6"/>
  <c r="L677" i="6"/>
  <c r="L655" i="6"/>
  <c r="L659" i="6"/>
  <c r="L669" i="6"/>
  <c r="L671" i="6"/>
  <c r="L661" i="6"/>
  <c r="L663" i="6"/>
  <c r="L667" i="6"/>
  <c r="L682" i="6"/>
  <c r="L684" i="6"/>
  <c r="L681" i="6"/>
  <c r="L695" i="6"/>
  <c r="L699" i="6"/>
  <c r="L705" i="6"/>
  <c r="L707" i="6"/>
  <c r="L697" i="6"/>
  <c r="L701" i="6"/>
  <c r="L703" i="6"/>
  <c r="L709" i="6"/>
  <c r="L711" i="6"/>
  <c r="L713" i="6"/>
  <c r="L687" i="6"/>
  <c r="L693" i="6"/>
  <c r="L715" i="6"/>
  <c r="L689" i="6"/>
  <c r="L691" i="6"/>
  <c r="L686" i="6"/>
  <c r="L718" i="6"/>
  <c r="L720" i="6"/>
  <c r="L722" i="6"/>
  <c r="L724" i="6"/>
  <c r="L726" i="6"/>
  <c r="L728" i="6"/>
  <c r="L730" i="6"/>
  <c r="L740" i="6"/>
  <c r="L742" i="6"/>
  <c r="L744" i="6"/>
  <c r="L746" i="6"/>
  <c r="L748" i="6"/>
  <c r="L766" i="6"/>
  <c r="L768" i="6"/>
  <c r="L770" i="6"/>
  <c r="L772" i="6"/>
  <c r="L764" i="6"/>
  <c r="L750" i="6"/>
  <c r="L754" i="6"/>
  <c r="L758" i="6"/>
  <c r="L762" i="6"/>
  <c r="L732" i="6"/>
  <c r="L734" i="6"/>
  <c r="L736" i="6"/>
  <c r="L738" i="6"/>
  <c r="L752" i="6"/>
  <c r="L756" i="6"/>
  <c r="L760" i="6"/>
  <c r="L774" i="6"/>
  <c r="L717" i="6"/>
  <c r="L779" i="6"/>
  <c r="L781" i="6"/>
  <c r="L785" i="6"/>
  <c r="L783" i="6"/>
  <c r="L777" i="6"/>
  <c r="L776" i="6"/>
  <c r="I11" i="6"/>
  <c r="I10" i="6"/>
  <c r="I14" i="6"/>
  <c r="I16" i="6"/>
  <c r="I13" i="6"/>
  <c r="I19" i="6"/>
  <c r="I21" i="6"/>
  <c r="I25" i="6"/>
  <c r="I27" i="6"/>
  <c r="I29" i="6"/>
  <c r="I31" i="6"/>
  <c r="I23" i="6"/>
  <c r="I33" i="6"/>
  <c r="I35" i="6"/>
  <c r="I37" i="6"/>
  <c r="I18" i="6"/>
  <c r="I40" i="6"/>
  <c r="I39" i="6"/>
  <c r="I45" i="6"/>
  <c r="I42" i="6"/>
  <c r="I52" i="6"/>
  <c r="I54" i="6"/>
  <c r="I47" i="6"/>
  <c r="J47" i="6"/>
  <c r="I62" i="6"/>
  <c r="I58" i="6"/>
  <c r="I60" i="6"/>
  <c r="I56" i="6"/>
  <c r="I48" i="6"/>
  <c r="I50" i="6"/>
  <c r="I67" i="6"/>
  <c r="I71" i="6"/>
  <c r="I75" i="6"/>
  <c r="I65" i="6"/>
  <c r="I69" i="6"/>
  <c r="I73" i="6"/>
  <c r="I64" i="6"/>
  <c r="I78" i="6"/>
  <c r="I77" i="6"/>
  <c r="I81" i="6"/>
  <c r="I86" i="6"/>
  <c r="I80" i="6"/>
  <c r="I89" i="6"/>
  <c r="I91" i="6"/>
  <c r="I99" i="6"/>
  <c r="I101" i="6"/>
  <c r="I103" i="6"/>
  <c r="I105" i="6"/>
  <c r="I93" i="6"/>
  <c r="I95" i="6"/>
  <c r="I97" i="6"/>
  <c r="I107" i="6"/>
  <c r="I88" i="6"/>
  <c r="I125" i="6"/>
  <c r="I119" i="6"/>
  <c r="I110" i="6"/>
  <c r="J110" i="6"/>
  <c r="I121" i="6"/>
  <c r="I129" i="6"/>
  <c r="I111" i="6"/>
  <c r="I113" i="6"/>
  <c r="I115" i="6"/>
  <c r="I117" i="6"/>
  <c r="I123" i="6"/>
  <c r="I127" i="6"/>
  <c r="I134" i="6"/>
  <c r="I138" i="6"/>
  <c r="I136" i="6"/>
  <c r="I132" i="6"/>
  <c r="I131" i="6"/>
  <c r="I141" i="6"/>
  <c r="I143" i="6"/>
  <c r="I140" i="6"/>
  <c r="J140" i="6"/>
  <c r="I146" i="6"/>
  <c r="I145" i="6"/>
  <c r="J145" i="6"/>
  <c r="I149" i="6"/>
  <c r="I148" i="6"/>
  <c r="J148" i="6"/>
  <c r="I152" i="6"/>
  <c r="I154" i="6"/>
  <c r="I151" i="6"/>
  <c r="I157" i="6"/>
  <c r="I159" i="6"/>
  <c r="I161" i="6"/>
  <c r="I156" i="6"/>
  <c r="I166" i="6"/>
  <c r="I164" i="6"/>
  <c r="I163" i="6"/>
  <c r="J163" i="6"/>
  <c r="I169" i="6"/>
  <c r="I171" i="6"/>
  <c r="I168" i="6"/>
  <c r="I174" i="6"/>
  <c r="I176" i="6"/>
  <c r="I173" i="6"/>
  <c r="J173" i="6"/>
  <c r="I179" i="6"/>
  <c r="I178" i="6"/>
  <c r="J178" i="6"/>
  <c r="I195" i="6"/>
  <c r="I181" i="6"/>
  <c r="I191" i="6"/>
  <c r="I183" i="6"/>
  <c r="I185" i="6"/>
  <c r="I187" i="6"/>
  <c r="I189" i="6"/>
  <c r="I199" i="6"/>
  <c r="I193" i="6"/>
  <c r="I197" i="6"/>
  <c r="I202" i="6"/>
  <c r="I204" i="6"/>
  <c r="I201" i="6"/>
  <c r="I211" i="6"/>
  <c r="I215" i="6"/>
  <c r="I217" i="6"/>
  <c r="I219" i="6"/>
  <c r="I213" i="6"/>
  <c r="I221" i="6"/>
  <c r="I223" i="6"/>
  <c r="I225" i="6"/>
  <c r="I210" i="6"/>
  <c r="I228" i="6"/>
  <c r="I230" i="6"/>
  <c r="I232" i="6"/>
  <c r="I234" i="6"/>
  <c r="I240" i="6"/>
  <c r="I242" i="6"/>
  <c r="I244" i="6"/>
  <c r="I250" i="6"/>
  <c r="I256" i="6"/>
  <c r="I236" i="6"/>
  <c r="I238" i="6"/>
  <c r="I248" i="6"/>
  <c r="I254" i="6"/>
  <c r="I246" i="6"/>
  <c r="I252" i="6"/>
  <c r="I227" i="6"/>
  <c r="I259" i="6"/>
  <c r="I261" i="6"/>
  <c r="I258" i="6"/>
  <c r="J258" i="6"/>
  <c r="I263" i="6"/>
  <c r="I265" i="6"/>
  <c r="I268" i="6"/>
  <c r="I270" i="6"/>
  <c r="I272" i="6"/>
  <c r="I274" i="6"/>
  <c r="I267" i="6"/>
  <c r="I277" i="6"/>
  <c r="I283" i="6"/>
  <c r="I289" i="6"/>
  <c r="I285" i="6"/>
  <c r="I293" i="6"/>
  <c r="I281" i="6"/>
  <c r="I291" i="6"/>
  <c r="I279" i="6"/>
  <c r="I287" i="6"/>
  <c r="I276" i="6"/>
  <c r="I208" i="6"/>
  <c r="I207" i="6"/>
  <c r="I297" i="6"/>
  <c r="I299" i="6"/>
  <c r="I301" i="6"/>
  <c r="I303" i="6"/>
  <c r="I305" i="6"/>
  <c r="I307" i="6"/>
  <c r="I296" i="6"/>
  <c r="I310" i="6"/>
  <c r="I312" i="6"/>
  <c r="I309" i="6"/>
  <c r="I316" i="6"/>
  <c r="I318" i="6"/>
  <c r="I328" i="6"/>
  <c r="I334" i="6"/>
  <c r="I342" i="6"/>
  <c r="I346" i="6"/>
  <c r="I348" i="6"/>
  <c r="I320" i="6"/>
  <c r="I324" i="6"/>
  <c r="I330" i="6"/>
  <c r="I340" i="6"/>
  <c r="I344" i="6"/>
  <c r="I354" i="6"/>
  <c r="I314" i="6"/>
  <c r="I322" i="6"/>
  <c r="I332" i="6"/>
  <c r="I338" i="6"/>
  <c r="I326" i="6"/>
  <c r="I336" i="6"/>
  <c r="I356" i="6"/>
  <c r="I350" i="6"/>
  <c r="I352" i="6"/>
  <c r="I359" i="6"/>
  <c r="I358" i="6"/>
  <c r="J358" i="6"/>
  <c r="I363" i="6"/>
  <c r="I365" i="6"/>
  <c r="I367" i="6"/>
  <c r="I369" i="6"/>
  <c r="I361" i="6"/>
  <c r="I371" i="6"/>
  <c r="I373" i="6"/>
  <c r="I375" i="6"/>
  <c r="I378" i="6"/>
  <c r="I377" i="6"/>
  <c r="J377" i="6"/>
  <c r="I384" i="6"/>
  <c r="I386" i="6"/>
  <c r="I390" i="6"/>
  <c r="I392" i="6"/>
  <c r="I394" i="6"/>
  <c r="I396" i="6"/>
  <c r="I398" i="6"/>
  <c r="I408" i="6"/>
  <c r="I412" i="6"/>
  <c r="I416" i="6"/>
  <c r="I422" i="6"/>
  <c r="I424" i="6"/>
  <c r="I432" i="6"/>
  <c r="I400" i="6"/>
  <c r="I402" i="6"/>
  <c r="I404" i="6"/>
  <c r="I406" i="6"/>
  <c r="I414" i="6"/>
  <c r="I418" i="6"/>
  <c r="I426" i="6"/>
  <c r="I436" i="6"/>
  <c r="I442" i="6"/>
  <c r="I446" i="6"/>
  <c r="I450" i="6"/>
  <c r="I388" i="6"/>
  <c r="I410" i="6"/>
  <c r="I420" i="6"/>
  <c r="I428" i="6"/>
  <c r="I430" i="6"/>
  <c r="I382" i="6"/>
  <c r="I434" i="6"/>
  <c r="I438" i="6"/>
  <c r="I440" i="6"/>
  <c r="I444" i="6"/>
  <c r="I448" i="6"/>
  <c r="I381" i="6"/>
  <c r="I459" i="6"/>
  <c r="I461" i="6"/>
  <c r="I463" i="6"/>
  <c r="I465" i="6"/>
  <c r="I473" i="6"/>
  <c r="I467" i="6"/>
  <c r="I469" i="6"/>
  <c r="I471" i="6"/>
  <c r="I475" i="6"/>
  <c r="I477" i="6"/>
  <c r="I481" i="6"/>
  <c r="I479" i="6"/>
  <c r="I483" i="6"/>
  <c r="I458" i="6"/>
  <c r="I489" i="6"/>
  <c r="I491" i="6"/>
  <c r="I488" i="6"/>
  <c r="I495" i="6"/>
  <c r="I497" i="6"/>
  <c r="I499" i="6"/>
  <c r="I493" i="6"/>
  <c r="I453" i="6"/>
  <c r="I452" i="6"/>
  <c r="J452" i="6"/>
  <c r="I456" i="6"/>
  <c r="I455" i="6"/>
  <c r="J455" i="6"/>
  <c r="I486" i="6"/>
  <c r="I485" i="6"/>
  <c r="J485" i="6"/>
  <c r="I589" i="6"/>
  <c r="I588" i="6"/>
  <c r="I606" i="6"/>
  <c r="I608" i="6"/>
  <c r="I597" i="6"/>
  <c r="J597" i="6"/>
  <c r="I604" i="6"/>
  <c r="I598" i="6"/>
  <c r="I600" i="6"/>
  <c r="I602" i="6"/>
  <c r="I611" i="6"/>
  <c r="I610" i="6"/>
  <c r="J610" i="6"/>
  <c r="I613" i="6"/>
  <c r="I615" i="6"/>
  <c r="I618" i="6"/>
  <c r="I632" i="6"/>
  <c r="I634" i="6"/>
  <c r="I626" i="6"/>
  <c r="I628" i="6"/>
  <c r="I630" i="6"/>
  <c r="I620" i="6"/>
  <c r="I636" i="6"/>
  <c r="I622" i="6"/>
  <c r="I624" i="6"/>
  <c r="I617" i="6"/>
  <c r="I644" i="6"/>
  <c r="I643" i="6"/>
  <c r="I647" i="6"/>
  <c r="I649" i="6"/>
  <c r="I646" i="6"/>
  <c r="J646" i="6"/>
  <c r="I639" i="6"/>
  <c r="I641" i="6"/>
  <c r="I638" i="6"/>
  <c r="I592" i="6"/>
  <c r="I591" i="6"/>
  <c r="I595" i="6"/>
  <c r="I594" i="6"/>
  <c r="I653" i="6"/>
  <c r="I657" i="6"/>
  <c r="I679" i="6"/>
  <c r="I665" i="6"/>
  <c r="I673" i="6"/>
  <c r="I675" i="6"/>
  <c r="I677" i="6"/>
  <c r="I655" i="6"/>
  <c r="I659" i="6"/>
  <c r="I669" i="6"/>
  <c r="I671" i="6"/>
  <c r="I661" i="6"/>
  <c r="I663" i="6"/>
  <c r="I667" i="6"/>
  <c r="I652" i="6"/>
  <c r="I682" i="6"/>
  <c r="I684" i="6"/>
  <c r="I681" i="6"/>
  <c r="I695" i="6"/>
  <c r="I686" i="6"/>
  <c r="J686" i="6"/>
  <c r="I699" i="6"/>
  <c r="I705" i="6"/>
  <c r="I707" i="6"/>
  <c r="I697" i="6"/>
  <c r="I701" i="6"/>
  <c r="I703" i="6"/>
  <c r="I709" i="6"/>
  <c r="I711" i="6"/>
  <c r="I713" i="6"/>
  <c r="I687" i="6"/>
  <c r="I693" i="6"/>
  <c r="I715" i="6"/>
  <c r="I689" i="6"/>
  <c r="I691" i="6"/>
  <c r="I718" i="6"/>
  <c r="I717" i="6"/>
  <c r="J717" i="6"/>
  <c r="I720" i="6"/>
  <c r="I722" i="6"/>
  <c r="I724" i="6"/>
  <c r="I726" i="6"/>
  <c r="I728" i="6"/>
  <c r="I730" i="6"/>
  <c r="I740" i="6"/>
  <c r="I742" i="6"/>
  <c r="I744" i="6"/>
  <c r="I746" i="6"/>
  <c r="I748" i="6"/>
  <c r="I766" i="6"/>
  <c r="I768" i="6"/>
  <c r="I770" i="6"/>
  <c r="I772" i="6"/>
  <c r="I764" i="6"/>
  <c r="I750" i="6"/>
  <c r="I754" i="6"/>
  <c r="I758" i="6"/>
  <c r="I762" i="6"/>
  <c r="I732" i="6"/>
  <c r="I734" i="6"/>
  <c r="I736" i="6"/>
  <c r="I738" i="6"/>
  <c r="I752" i="6"/>
  <c r="I756" i="6"/>
  <c r="I760" i="6"/>
  <c r="I774" i="6"/>
  <c r="I779" i="6"/>
  <c r="I776" i="6"/>
  <c r="J776" i="6"/>
  <c r="I781" i="6"/>
  <c r="I785" i="6"/>
  <c r="I783" i="6"/>
  <c r="I777" i="6"/>
  <c r="L84" i="6"/>
  <c r="L83" i="6"/>
  <c r="F11" i="6"/>
  <c r="F10" i="6"/>
  <c r="F14" i="6"/>
  <c r="F16" i="6"/>
  <c r="F13" i="6"/>
  <c r="F19" i="6"/>
  <c r="F21" i="6"/>
  <c r="F25" i="6"/>
  <c r="F27" i="6"/>
  <c r="F29" i="6"/>
  <c r="F31" i="6"/>
  <c r="F18" i="6"/>
  <c r="F43" i="6"/>
  <c r="F45" i="6"/>
  <c r="F42" i="6"/>
  <c r="F52" i="6"/>
  <c r="F47" i="6"/>
  <c r="F54" i="6"/>
  <c r="F62" i="6"/>
  <c r="F67" i="6"/>
  <c r="F64" i="6"/>
  <c r="F71" i="6"/>
  <c r="F75" i="6"/>
  <c r="F78" i="6"/>
  <c r="F77" i="6"/>
  <c r="F81" i="6"/>
  <c r="F80" i="6"/>
  <c r="F84" i="6"/>
  <c r="F83" i="6"/>
  <c r="F89" i="6"/>
  <c r="F91" i="6"/>
  <c r="F88" i="6"/>
  <c r="F134" i="6"/>
  <c r="F138" i="6"/>
  <c r="F131" i="6"/>
  <c r="F169" i="6"/>
  <c r="F171" i="6"/>
  <c r="F168" i="6"/>
  <c r="F179" i="6"/>
  <c r="F195" i="6"/>
  <c r="F178" i="6"/>
  <c r="G11" i="6"/>
  <c r="G10" i="6"/>
  <c r="G15" i="6"/>
  <c r="G14" i="6"/>
  <c r="G16" i="6"/>
  <c r="G13" i="6"/>
  <c r="G19" i="6"/>
  <c r="G21" i="6"/>
  <c r="G25" i="6"/>
  <c r="G28" i="6"/>
  <c r="G27" i="6"/>
  <c r="G18" i="6"/>
  <c r="G29" i="6"/>
  <c r="G31" i="6"/>
  <c r="G43" i="6"/>
  <c r="G45" i="6"/>
  <c r="G42" i="6"/>
  <c r="G52" i="6"/>
  <c r="G47" i="6"/>
  <c r="G54" i="6"/>
  <c r="G62" i="6"/>
  <c r="G67" i="6"/>
  <c r="G64" i="6"/>
  <c r="G71" i="6"/>
  <c r="G75" i="6"/>
  <c r="G78" i="6"/>
  <c r="G77" i="6"/>
  <c r="G82" i="6"/>
  <c r="G81" i="6"/>
  <c r="G80" i="6"/>
  <c r="G84" i="6"/>
  <c r="G83" i="6"/>
  <c r="G89" i="6"/>
  <c r="G91" i="6"/>
  <c r="G88" i="6"/>
  <c r="G135" i="6"/>
  <c r="G134" i="6"/>
  <c r="G131" i="6"/>
  <c r="G138" i="6"/>
  <c r="G169" i="6"/>
  <c r="G171" i="6"/>
  <c r="G168" i="6"/>
  <c r="G179" i="6"/>
  <c r="G195" i="6"/>
  <c r="G178" i="6"/>
  <c r="H11" i="6"/>
  <c r="H10" i="6"/>
  <c r="H14" i="6"/>
  <c r="H16" i="6"/>
  <c r="H13" i="6"/>
  <c r="H19" i="6"/>
  <c r="H21" i="6"/>
  <c r="H25" i="6"/>
  <c r="H27" i="6"/>
  <c r="H29" i="6"/>
  <c r="H31" i="6"/>
  <c r="H18" i="6"/>
  <c r="H43" i="6"/>
  <c r="H45" i="6"/>
  <c r="H42" i="6"/>
  <c r="H52" i="6"/>
  <c r="H47" i="6"/>
  <c r="H54" i="6"/>
  <c r="H62" i="6"/>
  <c r="H67" i="6"/>
  <c r="H64" i="6"/>
  <c r="H71" i="6"/>
  <c r="H75" i="6"/>
  <c r="H78" i="6"/>
  <c r="H77" i="6"/>
  <c r="H81" i="6"/>
  <c r="H80" i="6"/>
  <c r="H84" i="6"/>
  <c r="H83" i="6"/>
  <c r="H89" i="6"/>
  <c r="H91" i="6"/>
  <c r="H88" i="6"/>
  <c r="H134" i="6"/>
  <c r="H138" i="6"/>
  <c r="H131" i="6"/>
  <c r="H169" i="6"/>
  <c r="H171" i="6"/>
  <c r="H168" i="6"/>
  <c r="H179" i="6"/>
  <c r="H195" i="6"/>
  <c r="H178" i="6"/>
  <c r="J10" i="6"/>
  <c r="J11" i="6"/>
  <c r="J12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40" i="6"/>
  <c r="J41" i="6"/>
  <c r="J43" i="6"/>
  <c r="J44" i="6"/>
  <c r="J45" i="6"/>
  <c r="J46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1" i="6"/>
  <c r="J82" i="6"/>
  <c r="I84" i="6"/>
  <c r="I83" i="6"/>
  <c r="K84" i="6"/>
  <c r="K83" i="6"/>
  <c r="J83" i="6"/>
  <c r="J84" i="6"/>
  <c r="J85" i="6"/>
  <c r="J86" i="6"/>
  <c r="J87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2" i="6"/>
  <c r="J133" i="6"/>
  <c r="J134" i="6"/>
  <c r="J135" i="6"/>
  <c r="J136" i="6"/>
  <c r="J137" i="6"/>
  <c r="J138" i="6"/>
  <c r="J139" i="6"/>
  <c r="J141" i="6"/>
  <c r="J142" i="6"/>
  <c r="J143" i="6"/>
  <c r="J144" i="6"/>
  <c r="J146" i="6"/>
  <c r="J147" i="6"/>
  <c r="J149" i="6"/>
  <c r="J150" i="6"/>
  <c r="J152" i="6"/>
  <c r="J153" i="6"/>
  <c r="J154" i="6"/>
  <c r="J155" i="6"/>
  <c r="J157" i="6"/>
  <c r="J158" i="6"/>
  <c r="J159" i="6"/>
  <c r="J160" i="6"/>
  <c r="J161" i="6"/>
  <c r="J162" i="6"/>
  <c r="J164" i="6"/>
  <c r="J165" i="6"/>
  <c r="J166" i="6"/>
  <c r="J167" i="6"/>
  <c r="J169" i="6"/>
  <c r="J170" i="6"/>
  <c r="J171" i="6"/>
  <c r="J172" i="6"/>
  <c r="J174" i="6"/>
  <c r="J175" i="6"/>
  <c r="J176" i="6"/>
  <c r="J177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2" i="6"/>
  <c r="J203" i="6"/>
  <c r="J204" i="6"/>
  <c r="J205" i="6"/>
  <c r="F211" i="6"/>
  <c r="F215" i="6"/>
  <c r="F217" i="6"/>
  <c r="F219" i="6"/>
  <c r="F210" i="6"/>
  <c r="F206" i="6"/>
  <c r="F228" i="6"/>
  <c r="F230" i="6"/>
  <c r="F232" i="6"/>
  <c r="F234" i="6"/>
  <c r="F240" i="6"/>
  <c r="F242" i="6"/>
  <c r="F244" i="6"/>
  <c r="F250" i="6"/>
  <c r="F256" i="6"/>
  <c r="F227" i="6"/>
  <c r="F259" i="6"/>
  <c r="F261" i="6"/>
  <c r="F263" i="6"/>
  <c r="F258" i="6"/>
  <c r="F268" i="6"/>
  <c r="F270" i="6"/>
  <c r="F272" i="6"/>
  <c r="F267" i="6"/>
  <c r="F277" i="6"/>
  <c r="F283" i="6"/>
  <c r="F289" i="6"/>
  <c r="F276" i="6"/>
  <c r="G211" i="6"/>
  <c r="G215" i="6"/>
  <c r="G217" i="6"/>
  <c r="G219" i="6"/>
  <c r="G210" i="6"/>
  <c r="G228" i="6"/>
  <c r="G230" i="6"/>
  <c r="G232" i="6"/>
  <c r="G234" i="6"/>
  <c r="G240" i="6"/>
  <c r="G242" i="6"/>
  <c r="G244" i="6"/>
  <c r="G250" i="6"/>
  <c r="G256" i="6"/>
  <c r="G227" i="6"/>
  <c r="G259" i="6"/>
  <c r="G261" i="6"/>
  <c r="G263" i="6"/>
  <c r="G258" i="6"/>
  <c r="G269" i="6"/>
  <c r="G268" i="6"/>
  <c r="G267" i="6"/>
  <c r="G206" i="6"/>
  <c r="G270" i="6"/>
  <c r="G272" i="6"/>
  <c r="G277" i="6"/>
  <c r="G276" i="6"/>
  <c r="G283" i="6"/>
  <c r="G289" i="6"/>
  <c r="H211" i="6"/>
  <c r="H215" i="6"/>
  <c r="H210" i="6"/>
  <c r="H217" i="6"/>
  <c r="H219" i="6"/>
  <c r="H228" i="6"/>
  <c r="H227" i="6"/>
  <c r="H230" i="6"/>
  <c r="H232" i="6"/>
  <c r="H234" i="6"/>
  <c r="H240" i="6"/>
  <c r="H242" i="6"/>
  <c r="H244" i="6"/>
  <c r="H250" i="6"/>
  <c r="H256" i="6"/>
  <c r="H259" i="6"/>
  <c r="H258" i="6"/>
  <c r="H261" i="6"/>
  <c r="H263" i="6"/>
  <c r="H268" i="6"/>
  <c r="H267" i="6"/>
  <c r="H270" i="6"/>
  <c r="H272" i="6"/>
  <c r="H277" i="6"/>
  <c r="H276" i="6"/>
  <c r="H283" i="6"/>
  <c r="H289" i="6"/>
  <c r="J208" i="6"/>
  <c r="J209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9" i="6"/>
  <c r="J260" i="6"/>
  <c r="J261" i="6"/>
  <c r="J262" i="6"/>
  <c r="J263" i="6"/>
  <c r="J264" i="6"/>
  <c r="J265" i="6"/>
  <c r="J266" i="6"/>
  <c r="J268" i="6"/>
  <c r="J269" i="6"/>
  <c r="J270" i="6"/>
  <c r="J271" i="6"/>
  <c r="J272" i="6"/>
  <c r="J273" i="6"/>
  <c r="J274" i="6"/>
  <c r="J275" i="6"/>
  <c r="J277" i="6"/>
  <c r="J278" i="6"/>
  <c r="J279" i="6"/>
  <c r="J280" i="6"/>
  <c r="F281" i="6"/>
  <c r="G281" i="6"/>
  <c r="H281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F297" i="6"/>
  <c r="F299" i="6"/>
  <c r="F301" i="6"/>
  <c r="F296" i="6"/>
  <c r="F295" i="6"/>
  <c r="F310" i="6"/>
  <c r="F312" i="6"/>
  <c r="F316" i="6"/>
  <c r="F318" i="6"/>
  <c r="F328" i="6"/>
  <c r="F334" i="6"/>
  <c r="F342" i="6"/>
  <c r="F346" i="6"/>
  <c r="F348" i="6"/>
  <c r="F309" i="6"/>
  <c r="F359" i="6"/>
  <c r="F363" i="6"/>
  <c r="F365" i="6"/>
  <c r="F358" i="6"/>
  <c r="G297" i="6"/>
  <c r="G296" i="6"/>
  <c r="G299" i="6"/>
  <c r="G301" i="6"/>
  <c r="G310" i="6"/>
  <c r="G309" i="6"/>
  <c r="G312" i="6"/>
  <c r="G316" i="6"/>
  <c r="G318" i="6"/>
  <c r="G328" i="6"/>
  <c r="G334" i="6"/>
  <c r="G342" i="6"/>
  <c r="G346" i="6"/>
  <c r="G348" i="6"/>
  <c r="G359" i="6"/>
  <c r="G358" i="6"/>
  <c r="G363" i="6"/>
  <c r="G365" i="6"/>
  <c r="H297" i="6"/>
  <c r="H299" i="6"/>
  <c r="H301" i="6"/>
  <c r="H296" i="6"/>
  <c r="H295" i="6"/>
  <c r="H310" i="6"/>
  <c r="H312" i="6"/>
  <c r="H316" i="6"/>
  <c r="H318" i="6"/>
  <c r="H328" i="6"/>
  <c r="H334" i="6"/>
  <c r="H342" i="6"/>
  <c r="H346" i="6"/>
  <c r="H348" i="6"/>
  <c r="H309" i="6"/>
  <c r="H359" i="6"/>
  <c r="H363" i="6"/>
  <c r="H365" i="6"/>
  <c r="H358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8" i="6"/>
  <c r="J379" i="6"/>
  <c r="F384" i="6"/>
  <c r="F386" i="6"/>
  <c r="F390" i="6"/>
  <c r="F392" i="6"/>
  <c r="F394" i="6"/>
  <c r="F396" i="6"/>
  <c r="F398" i="6"/>
  <c r="F408" i="6"/>
  <c r="F412" i="6"/>
  <c r="F416" i="6"/>
  <c r="F422" i="6"/>
  <c r="F424" i="6"/>
  <c r="F432" i="6"/>
  <c r="F381" i="6"/>
  <c r="F380" i="6"/>
  <c r="F459" i="6"/>
  <c r="F461" i="6"/>
  <c r="F463" i="6"/>
  <c r="F465" i="6"/>
  <c r="F473" i="6"/>
  <c r="F458" i="6"/>
  <c r="F489" i="6"/>
  <c r="F491" i="6"/>
  <c r="F495" i="6"/>
  <c r="F497" i="6"/>
  <c r="F499" i="6"/>
  <c r="F488" i="6"/>
  <c r="G384" i="6"/>
  <c r="G386" i="6"/>
  <c r="G390" i="6"/>
  <c r="G392" i="6"/>
  <c r="G394" i="6"/>
  <c r="G397" i="6"/>
  <c r="G396" i="6"/>
  <c r="G398" i="6"/>
  <c r="G408" i="6"/>
  <c r="G412" i="6"/>
  <c r="G416" i="6"/>
  <c r="G422" i="6"/>
  <c r="G424" i="6"/>
  <c r="G432" i="6"/>
  <c r="G381" i="6"/>
  <c r="G380" i="6"/>
  <c r="G459" i="6"/>
  <c r="G461" i="6"/>
  <c r="G463" i="6"/>
  <c r="G465" i="6"/>
  <c r="G473" i="6"/>
  <c r="G458" i="6"/>
  <c r="G489" i="6"/>
  <c r="G491" i="6"/>
  <c r="G495" i="6"/>
  <c r="G497" i="6"/>
  <c r="G499" i="6"/>
  <c r="G488" i="6"/>
  <c r="H384" i="6"/>
  <c r="H381" i="6"/>
  <c r="H386" i="6"/>
  <c r="H390" i="6"/>
  <c r="H392" i="6"/>
  <c r="H394" i="6"/>
  <c r="H396" i="6"/>
  <c r="H398" i="6"/>
  <c r="H408" i="6"/>
  <c r="H412" i="6"/>
  <c r="H416" i="6"/>
  <c r="H422" i="6"/>
  <c r="H424" i="6"/>
  <c r="H432" i="6"/>
  <c r="H459" i="6"/>
  <c r="H458" i="6"/>
  <c r="H461" i="6"/>
  <c r="H463" i="6"/>
  <c r="H465" i="6"/>
  <c r="H473" i="6"/>
  <c r="H489" i="6"/>
  <c r="H488" i="6"/>
  <c r="H491" i="6"/>
  <c r="H495" i="6"/>
  <c r="H497" i="6"/>
  <c r="H499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3" i="6"/>
  <c r="J454" i="6"/>
  <c r="J456" i="6"/>
  <c r="J457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6" i="6"/>
  <c r="J487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F503" i="6"/>
  <c r="F502" i="6"/>
  <c r="F516" i="6"/>
  <c r="F515" i="6"/>
  <c r="F521" i="6"/>
  <c r="F520" i="6"/>
  <c r="F523" i="6"/>
  <c r="F525" i="6"/>
  <c r="F544" i="6"/>
  <c r="F543" i="6"/>
  <c r="F555" i="6"/>
  <c r="F554" i="6"/>
  <c r="F558" i="6"/>
  <c r="F560" i="6"/>
  <c r="F557" i="6"/>
  <c r="F565" i="6"/>
  <c r="F567" i="6"/>
  <c r="F562" i="6"/>
  <c r="F570" i="6"/>
  <c r="F569" i="6"/>
  <c r="F575" i="6"/>
  <c r="F572" i="6"/>
  <c r="G503" i="6"/>
  <c r="G502" i="6"/>
  <c r="G516" i="6"/>
  <c r="G515" i="6"/>
  <c r="G521" i="6"/>
  <c r="G523" i="6"/>
  <c r="G520" i="6"/>
  <c r="G526" i="6"/>
  <c r="G525" i="6"/>
  <c r="G544" i="6"/>
  <c r="G543" i="6"/>
  <c r="G555" i="6"/>
  <c r="G554" i="6"/>
  <c r="G558" i="6"/>
  <c r="G560" i="6"/>
  <c r="G557" i="6"/>
  <c r="G565" i="6"/>
  <c r="G567" i="6"/>
  <c r="G562" i="6"/>
  <c r="G570" i="6"/>
  <c r="G569" i="6"/>
  <c r="G575" i="6"/>
  <c r="G572" i="6"/>
  <c r="H503" i="6"/>
  <c r="H502" i="6"/>
  <c r="H508" i="6"/>
  <c r="H507" i="6"/>
  <c r="H516" i="6"/>
  <c r="H515" i="6"/>
  <c r="H521" i="6"/>
  <c r="H523" i="6"/>
  <c r="H525" i="6"/>
  <c r="H520" i="6"/>
  <c r="H544" i="6"/>
  <c r="H543" i="6"/>
  <c r="H555" i="6"/>
  <c r="H554" i="6"/>
  <c r="H558" i="6"/>
  <c r="H560" i="6"/>
  <c r="H557" i="6"/>
  <c r="H565" i="6"/>
  <c r="H567" i="6"/>
  <c r="H562" i="6"/>
  <c r="H570" i="6"/>
  <c r="H569" i="6"/>
  <c r="H575" i="6"/>
  <c r="H572" i="6"/>
  <c r="J503" i="6"/>
  <c r="J504" i="6"/>
  <c r="J505" i="6"/>
  <c r="J506" i="6"/>
  <c r="J507" i="6"/>
  <c r="F508" i="6"/>
  <c r="G508" i="6"/>
  <c r="J508" i="6"/>
  <c r="J509" i="6"/>
  <c r="F510" i="6"/>
  <c r="G510" i="6"/>
  <c r="H510" i="6"/>
  <c r="J510" i="6"/>
  <c r="J511" i="6"/>
  <c r="J513" i="6"/>
  <c r="J514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7" i="6"/>
  <c r="J548" i="6"/>
  <c r="J550" i="6"/>
  <c r="J551" i="6"/>
  <c r="J552" i="6"/>
  <c r="J553" i="6"/>
  <c r="J554" i="6"/>
  <c r="J555" i="6"/>
  <c r="J556" i="6"/>
  <c r="J558" i="6"/>
  <c r="J559" i="6"/>
  <c r="J560" i="6"/>
  <c r="J561" i="6"/>
  <c r="J563" i="6"/>
  <c r="J564" i="6"/>
  <c r="J565" i="6"/>
  <c r="J566" i="6"/>
  <c r="J567" i="6"/>
  <c r="J568" i="6"/>
  <c r="J570" i="6"/>
  <c r="J571" i="6"/>
  <c r="J573" i="6"/>
  <c r="J574" i="6"/>
  <c r="J575" i="6"/>
  <c r="J576" i="6"/>
  <c r="F578" i="6"/>
  <c r="G578" i="6"/>
  <c r="H578" i="6"/>
  <c r="J578" i="6"/>
  <c r="J579" i="6"/>
  <c r="F580" i="6"/>
  <c r="G580" i="6"/>
  <c r="H580" i="6"/>
  <c r="J580" i="6"/>
  <c r="J581" i="6"/>
  <c r="F583" i="6"/>
  <c r="G583" i="6"/>
  <c r="H583" i="6"/>
  <c r="J583" i="6"/>
  <c r="J584" i="6"/>
  <c r="F585" i="6"/>
  <c r="G585" i="6"/>
  <c r="H585" i="6"/>
  <c r="J585" i="6"/>
  <c r="J586" i="6"/>
  <c r="F589" i="6"/>
  <c r="F588" i="6"/>
  <c r="F606" i="6"/>
  <c r="F608" i="6"/>
  <c r="F597" i="6"/>
  <c r="F611" i="6"/>
  <c r="F610" i="6"/>
  <c r="F613" i="6"/>
  <c r="F615" i="6"/>
  <c r="F618" i="6"/>
  <c r="F617" i="6"/>
  <c r="F632" i="6"/>
  <c r="F634" i="6"/>
  <c r="G589" i="6"/>
  <c r="G588" i="6"/>
  <c r="G606" i="6"/>
  <c r="G608" i="6"/>
  <c r="G597" i="6"/>
  <c r="G611" i="6"/>
  <c r="G610" i="6"/>
  <c r="G613" i="6"/>
  <c r="G615" i="6"/>
  <c r="G618" i="6"/>
  <c r="G617" i="6"/>
  <c r="G632" i="6"/>
  <c r="G634" i="6"/>
  <c r="H589" i="6"/>
  <c r="H588" i="6"/>
  <c r="H606" i="6"/>
  <c r="H608" i="6"/>
  <c r="H597" i="6"/>
  <c r="H611" i="6"/>
  <c r="H610" i="6"/>
  <c r="H613" i="6"/>
  <c r="H615" i="6"/>
  <c r="H618" i="6"/>
  <c r="H617" i="6"/>
  <c r="H632" i="6"/>
  <c r="H634" i="6"/>
  <c r="J589" i="6"/>
  <c r="J590" i="6"/>
  <c r="J592" i="6"/>
  <c r="J593" i="6"/>
  <c r="J595" i="6"/>
  <c r="J596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1" i="6"/>
  <c r="J612" i="6"/>
  <c r="J613" i="6"/>
  <c r="J614" i="6"/>
  <c r="J615" i="6"/>
  <c r="J616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9" i="6"/>
  <c r="J640" i="6"/>
  <c r="J641" i="6"/>
  <c r="J642" i="6"/>
  <c r="J644" i="6"/>
  <c r="J645" i="6"/>
  <c r="J647" i="6"/>
  <c r="J648" i="6"/>
  <c r="J649" i="6"/>
  <c r="J650" i="6"/>
  <c r="F653" i="6"/>
  <c r="F657" i="6"/>
  <c r="F679" i="6"/>
  <c r="F652" i="6"/>
  <c r="F682" i="6"/>
  <c r="F684" i="6"/>
  <c r="F681" i="6"/>
  <c r="F695" i="6"/>
  <c r="F686" i="6"/>
  <c r="F699" i="6"/>
  <c r="F705" i="6"/>
  <c r="F707" i="6"/>
  <c r="F697" i="6"/>
  <c r="F718" i="6"/>
  <c r="F717" i="6"/>
  <c r="F720" i="6"/>
  <c r="F722" i="6"/>
  <c r="F724" i="6"/>
  <c r="F726" i="6"/>
  <c r="F728" i="6"/>
  <c r="F730" i="6"/>
  <c r="F740" i="6"/>
  <c r="F742" i="6"/>
  <c r="F744" i="6"/>
  <c r="F746" i="6"/>
  <c r="F748" i="6"/>
  <c r="F766" i="6"/>
  <c r="F768" i="6"/>
  <c r="F770" i="6"/>
  <c r="F772" i="6"/>
  <c r="F764" i="6"/>
  <c r="F779" i="6"/>
  <c r="F781" i="6"/>
  <c r="F776" i="6"/>
  <c r="G654" i="6"/>
  <c r="G653" i="6"/>
  <c r="G652" i="6"/>
  <c r="G657" i="6"/>
  <c r="G679" i="6"/>
  <c r="G682" i="6"/>
  <c r="G684" i="6"/>
  <c r="G681" i="6"/>
  <c r="G696" i="6"/>
  <c r="G695" i="6"/>
  <c r="G699" i="6"/>
  <c r="G705" i="6"/>
  <c r="G708" i="6"/>
  <c r="G707" i="6"/>
  <c r="G698" i="6"/>
  <c r="G697" i="6"/>
  <c r="G701" i="6"/>
  <c r="G718" i="6"/>
  <c r="G717" i="6"/>
  <c r="G720" i="6"/>
  <c r="G722" i="6"/>
  <c r="G724" i="6"/>
  <c r="G726" i="6"/>
  <c r="G728" i="6"/>
  <c r="G730" i="6"/>
  <c r="G740" i="6"/>
  <c r="G742" i="6"/>
  <c r="G744" i="6"/>
  <c r="G746" i="6"/>
  <c r="G748" i="6"/>
  <c r="G766" i="6"/>
  <c r="G768" i="6"/>
  <c r="G770" i="6"/>
  <c r="G772" i="6"/>
  <c r="G764" i="6"/>
  <c r="G780" i="6"/>
  <c r="G779" i="6"/>
  <c r="G776" i="6"/>
  <c r="G781" i="6"/>
  <c r="H653" i="6"/>
  <c r="H657" i="6"/>
  <c r="H679" i="6"/>
  <c r="H652" i="6"/>
  <c r="H682" i="6"/>
  <c r="H684" i="6"/>
  <c r="H681" i="6"/>
  <c r="H695" i="6"/>
  <c r="H686" i="6"/>
  <c r="H699" i="6"/>
  <c r="H705" i="6"/>
  <c r="H707" i="6"/>
  <c r="H697" i="6"/>
  <c r="H718" i="6"/>
  <c r="H717" i="6"/>
  <c r="H720" i="6"/>
  <c r="H722" i="6"/>
  <c r="H724" i="6"/>
  <c r="H726" i="6"/>
  <c r="H728" i="6"/>
  <c r="H730" i="6"/>
  <c r="H740" i="6"/>
  <c r="H742" i="6"/>
  <c r="H744" i="6"/>
  <c r="H746" i="6"/>
  <c r="H748" i="6"/>
  <c r="H766" i="6"/>
  <c r="H768" i="6"/>
  <c r="H770" i="6"/>
  <c r="H772" i="6"/>
  <c r="H764" i="6"/>
  <c r="H779" i="6"/>
  <c r="H781" i="6"/>
  <c r="H776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2" i="6"/>
  <c r="J683" i="6"/>
  <c r="J684" i="6"/>
  <c r="J685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F701" i="6"/>
  <c r="H701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7" i="6"/>
  <c r="J778" i="6"/>
  <c r="J779" i="6"/>
  <c r="J780" i="6"/>
  <c r="J781" i="6"/>
  <c r="J782" i="6"/>
  <c r="J783" i="6"/>
  <c r="J784" i="6"/>
  <c r="J785" i="6"/>
  <c r="J786" i="6"/>
  <c r="H651" i="6"/>
  <c r="G686" i="6"/>
  <c r="G501" i="6"/>
  <c r="H380" i="6"/>
  <c r="G295" i="6"/>
  <c r="H206" i="6"/>
  <c r="H9" i="6"/>
  <c r="I651" i="6"/>
  <c r="J681" i="6"/>
  <c r="I587" i="6"/>
  <c r="I9" i="6"/>
  <c r="L587" i="6"/>
  <c r="L206" i="6"/>
  <c r="L380" i="6"/>
  <c r="K587" i="6"/>
  <c r="J587" i="6"/>
  <c r="J588" i="6"/>
  <c r="J80" i="6"/>
  <c r="I501" i="6"/>
  <c r="L501" i="6"/>
  <c r="J557" i="6"/>
  <c r="K501" i="6"/>
  <c r="J501" i="6"/>
  <c r="J502" i="6"/>
  <c r="G651" i="6"/>
  <c r="F651" i="6"/>
  <c r="H587" i="6"/>
  <c r="G587" i="6"/>
  <c r="F587" i="6"/>
  <c r="H501" i="6"/>
  <c r="F501" i="6"/>
  <c r="G9" i="6"/>
  <c r="F9" i="6"/>
  <c r="F787" i="6"/>
  <c r="J488" i="6"/>
  <c r="I380" i="6"/>
  <c r="I295" i="6"/>
  <c r="J309" i="6"/>
  <c r="I206" i="6"/>
  <c r="L9" i="6"/>
  <c r="L787" i="6"/>
  <c r="K651" i="6"/>
  <c r="J651" i="6"/>
  <c r="J652" i="6"/>
  <c r="K380" i="6"/>
  <c r="J381" i="6"/>
  <c r="K295" i="6"/>
  <c r="J295" i="6"/>
  <c r="J296" i="6"/>
  <c r="J210" i="6"/>
  <c r="K206" i="6"/>
  <c r="J206" i="6"/>
  <c r="J13" i="6"/>
  <c r="K9" i="6"/>
  <c r="J562" i="6"/>
  <c r="J515" i="6"/>
  <c r="J380" i="6"/>
  <c r="G787" i="6"/>
  <c r="J9" i="6"/>
  <c r="K787" i="6"/>
  <c r="J787" i="6"/>
  <c r="I787" i="6"/>
  <c r="H787" i="6"/>
  <c r="J594" i="5" l="1"/>
  <c r="J598" i="5" l="1"/>
  <c r="I594" i="5"/>
  <c r="I17" i="5"/>
</calcChain>
</file>

<file path=xl/comments1.xml><?xml version="1.0" encoding="utf-8"?>
<comments xmlns="http://schemas.openxmlformats.org/spreadsheetml/2006/main">
  <authors>
    <author>sveta</author>
    <author>Автор</author>
  </authors>
  <commentList>
    <comment ref="B407" authorId="0">
      <text>
        <r>
          <rPr>
            <b/>
            <sz val="8"/>
            <color indexed="81"/>
            <rFont val="Tahoma"/>
            <family val="2"/>
            <charset val="204"/>
          </rPr>
          <t>sveta:</t>
        </r>
        <r>
          <rPr>
            <sz val="8"/>
            <color indexed="81"/>
            <rFont val="Tahoma"/>
            <family val="2"/>
            <charset val="204"/>
          </rPr>
          <t xml:space="preserve">
доплата молодым специалистам
</t>
        </r>
      </text>
    </comment>
    <comment ref="B420" authorId="1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дюсш</t>
        </r>
      </text>
    </comment>
    <comment ref="B430" authorId="0">
      <text>
        <r>
          <rPr>
            <b/>
            <sz val="8"/>
            <color indexed="81"/>
            <rFont val="Tahoma"/>
            <family val="2"/>
            <charset val="204"/>
          </rPr>
          <t>sveta:</t>
        </r>
        <r>
          <rPr>
            <sz val="8"/>
            <color indexed="81"/>
            <rFont val="Tahoma"/>
            <family val="2"/>
            <charset val="204"/>
          </rPr>
          <t xml:space="preserve">
доплата молодым специалистам
</t>
        </r>
      </text>
    </comment>
  </commentList>
</comments>
</file>

<file path=xl/comments2.xml><?xml version="1.0" encoding="utf-8"?>
<comments xmlns="http://schemas.openxmlformats.org/spreadsheetml/2006/main">
  <authors>
    <author>fin1</author>
  </authors>
  <commentList>
    <comment ref="G135" authorId="0">
      <text>
        <r>
          <rPr>
            <b/>
            <sz val="8"/>
            <color indexed="81"/>
            <rFont val="Tahoma"/>
            <family val="2"/>
            <charset val="204"/>
          </rPr>
          <t>fin1:</t>
        </r>
        <r>
          <rPr>
            <sz val="8"/>
            <color indexed="81"/>
            <rFont val="Tahoma"/>
            <family val="2"/>
            <charset val="204"/>
          </rPr>
          <t xml:space="preserve">
67186 Уголь</t>
        </r>
      </text>
    </comment>
    <comment ref="G269" authorId="0">
      <text>
        <r>
          <rPr>
            <b/>
            <sz val="8"/>
            <color indexed="81"/>
            <rFont val="Tahoma"/>
            <family val="2"/>
            <charset val="204"/>
          </rPr>
          <t>fin1:</t>
        </r>
        <r>
          <rPr>
            <sz val="8"/>
            <color indexed="81"/>
            <rFont val="Tahoma"/>
            <family val="2"/>
            <charset val="204"/>
          </rPr>
          <t xml:space="preserve">
300000- машина</t>
        </r>
      </text>
    </comment>
    <comment ref="G526" authorId="0">
      <text>
        <r>
          <rPr>
            <b/>
            <sz val="8"/>
            <color indexed="81"/>
            <rFont val="Tahoma"/>
            <family val="2"/>
            <charset val="204"/>
          </rPr>
          <t>fin1:</t>
        </r>
        <r>
          <rPr>
            <sz val="8"/>
            <color indexed="81"/>
            <rFont val="Tahoma"/>
            <family val="2"/>
            <charset val="204"/>
          </rPr>
          <t xml:space="preserve">
 лизинг1374 отходы 750
</t>
        </r>
      </text>
    </comment>
    <comment ref="G654" authorId="0">
      <text>
        <r>
          <rPr>
            <b/>
            <sz val="8"/>
            <color indexed="81"/>
            <rFont val="Tahoma"/>
            <family val="2"/>
            <charset val="204"/>
          </rPr>
          <t>fin1:</t>
        </r>
        <r>
          <rPr>
            <sz val="8"/>
            <color indexed="81"/>
            <rFont val="Tahoma"/>
            <family val="2"/>
            <charset val="204"/>
          </rPr>
          <t xml:space="preserve">
102749 - уголь
</t>
        </r>
      </text>
    </comment>
  </commentList>
</comments>
</file>

<file path=xl/sharedStrings.xml><?xml version="1.0" encoding="utf-8"?>
<sst xmlns="http://schemas.openxmlformats.org/spreadsheetml/2006/main" count="10175" uniqueCount="1279">
  <si>
    <t>Другие вопросы в области жилищно-коммунального хозяйства</t>
  </si>
  <si>
    <t>1020152</t>
  </si>
  <si>
    <t>Бюджетные инвестиции в объекты капитального строительства собственности муниципальных образований (соф.ЛЭП 1-я очер.)</t>
  </si>
  <si>
    <t>1020102</t>
  </si>
  <si>
    <t>Бюджетные инвестиции в объекты капитального строительства собственности муниципальных образований</t>
  </si>
  <si>
    <t>150</t>
  </si>
  <si>
    <t>УПРАВЛЕНИЕ ПО ТРУДУ И СОЦИАЛЬНОМУ РАЗВИТИЮ АДМИНИСТРАЦИИ МУНИЦИПАЛЬНОГО ОБРАЗОВАНИЯ "УСТЬ-КОКСИНСКИЙ РАЙОН"</t>
  </si>
  <si>
    <t>4310100</t>
  </si>
  <si>
    <t>Проведение мероприятий для детей и молодежи</t>
  </si>
  <si>
    <t>4310110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</si>
  <si>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</si>
  <si>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</si>
  <si>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</si>
  <si>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</si>
  <si>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4910200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</si>
  <si>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</si>
  <si>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1002</t>
  </si>
  <si>
    <t>Социальное обслуживание населения</t>
  </si>
  <si>
    <t>5079900</t>
  </si>
  <si>
    <t>5079901</t>
  </si>
  <si>
    <t>Обеспечение деятельности подведомственных учреждений (ветеран)</t>
  </si>
  <si>
    <t>5079904</t>
  </si>
  <si>
    <t>Обеспечение деятельности подведомственных учреждений ("Человек труда")</t>
  </si>
  <si>
    <t>5079909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</si>
  <si>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</si>
  <si>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</si>
  <si>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5053000</t>
  </si>
  <si>
    <t>Ежемесячное пособие на ребенка</t>
  </si>
  <si>
    <t>5053001</t>
  </si>
  <si>
    <t>5053110</t>
  </si>
  <si>
    <t>5053111</t>
  </si>
  <si>
    <t>5053120</t>
  </si>
  <si>
    <t>Обеспечение мер социальной поддержки тружеников тыла</t>
  </si>
  <si>
    <t>5053400</t>
  </si>
  <si>
    <t>Обеспеч.жильем инв.войны и боев.действий, уч.ВОВ, ветер.боев.действий, военносл., проход.воен.службу с 22 июня 1941 г.по 3 сентября 1945г., гр-н, награжд.зн."Жителю блокадного Ленинграда", лиц, раб.на воен.об-х в период ВОВ, чл.семей погибших(умерших) ...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</si>
  <si>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</si>
  <si>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</si>
  <si>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</si>
  <si>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</si>
  <si>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</si>
  <si>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</si>
  <si>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5054701</t>
  </si>
  <si>
    <t>Предоставление гражданам субсидий на оплату жилого помещения и коммунальных услуг</t>
  </si>
  <si>
    <t>5054801</t>
  </si>
  <si>
    <t>5056600</t>
  </si>
  <si>
    <t>Предоставление мер социальной поддержки ветеранам труда Республики Алтай</t>
  </si>
  <si>
    <t>5056700</t>
  </si>
  <si>
    <t>Предоставление мер социальной поддержки некоторым категориям работников, проживающих в сельской местности РА</t>
  </si>
  <si>
    <t>5056701</t>
  </si>
  <si>
    <t>5056800</t>
  </si>
  <si>
    <t>Предоставление мер социальной поддержки многодетным семьям</t>
  </si>
  <si>
    <t>1006</t>
  </si>
  <si>
    <t>Другие вопросы в области социальной политики</t>
  </si>
  <si>
    <t>0020403</t>
  </si>
  <si>
    <t>ИТОГО</t>
  </si>
  <si>
    <t>ПЛАНИРУЕМЫЕ РАСХОДЫ БЮДЖЕТА</t>
  </si>
  <si>
    <t>7</t>
  </si>
  <si>
    <t>Сумма 2010г.</t>
  </si>
  <si>
    <t>0016101</t>
  </si>
  <si>
    <t>4320200</t>
  </si>
  <si>
    <t>Сумма измен. 2010г.</t>
  </si>
  <si>
    <t>Оздоровление детей</t>
  </si>
  <si>
    <t>Развитие социальной и инженерной инфраструктуры (соф.м.б)</t>
  </si>
  <si>
    <t>Обеспечение деятельности подведомственных учреждений (МКЦ)</t>
  </si>
  <si>
    <t>5079910</t>
  </si>
  <si>
    <t>4219911</t>
  </si>
  <si>
    <t>4219914</t>
  </si>
  <si>
    <t>4219915</t>
  </si>
  <si>
    <t xml:space="preserve"> зарплата 2010</t>
  </si>
  <si>
    <t>4219916</t>
  </si>
  <si>
    <t>Обеспечение деятельности подведомственных учреждений( ФАП)</t>
  </si>
  <si>
    <t>Обеспечение деятельности подведомственных учреждений ( стандарт)</t>
  </si>
  <si>
    <t>7950100</t>
  </si>
  <si>
    <t>5056500</t>
  </si>
  <si>
    <t>Предоставление гарантированных услуг по погребению</t>
  </si>
  <si>
    <t>Развитие социальной и инженерной инфраструктуры (соф. М.б.)</t>
  </si>
  <si>
    <t>5079902</t>
  </si>
  <si>
    <t>Обеспечение деятельности подведомственных учреждений (мероприятия)</t>
  </si>
  <si>
    <t>7951100</t>
  </si>
  <si>
    <t>4789907</t>
  </si>
  <si>
    <t>8</t>
  </si>
  <si>
    <t>0016201</t>
  </si>
  <si>
    <t>0020410</t>
  </si>
  <si>
    <t>0020417</t>
  </si>
  <si>
    <t>Центральный аппарат (МОП)</t>
  </si>
  <si>
    <t>Центральный аппарат (налоги)</t>
  </si>
  <si>
    <t xml:space="preserve">Обеспечение деятельности подведомственных учреждений </t>
  </si>
  <si>
    <t>0501</t>
  </si>
  <si>
    <t>Жилищное хозяйство</t>
  </si>
  <si>
    <t>Обеспечение деятельности подведомственных учреждений (уголь)</t>
  </si>
  <si>
    <t>0705</t>
  </si>
  <si>
    <t>4340000</t>
  </si>
  <si>
    <t>4340001</t>
  </si>
  <si>
    <t>3400712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</si>
  <si>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</si>
  <si>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</si>
  <si>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Мероприятия по переподготовке и повышению квалификации(администрация)</t>
  </si>
  <si>
    <t>Закупка автотранспортных средств и коммунальной техники (средства местного бюджета)</t>
  </si>
  <si>
    <t>4709917</t>
  </si>
  <si>
    <t>Обеспечение деятельности подведомственных учреждений (налоги)</t>
  </si>
  <si>
    <t>4709999</t>
  </si>
  <si>
    <t>Обеспечение деятельности подведомственных учреждений (дрова)</t>
  </si>
  <si>
    <t>4789999</t>
  </si>
  <si>
    <t>Обеспечение деятельности подведомственных учреждений ( дрова)</t>
  </si>
  <si>
    <t>7951500</t>
  </si>
  <si>
    <t>Целевые программы муниципальных образований (Вакцинапрофилактика гриппа (гриппола) на 2010 год)</t>
  </si>
  <si>
    <t>4239917</t>
  </si>
  <si>
    <t>4239999</t>
  </si>
  <si>
    <t>4429917</t>
  </si>
  <si>
    <t>Обеспечение деятельности подведомственных учреждений(налоги)</t>
  </si>
  <si>
    <t>4409917</t>
  </si>
  <si>
    <t>4409999</t>
  </si>
  <si>
    <t>4429901</t>
  </si>
  <si>
    <t>4429999</t>
  </si>
  <si>
    <t>4439901</t>
  </si>
  <si>
    <t>7951800</t>
  </si>
  <si>
    <t>4529917</t>
  </si>
  <si>
    <t>4529999</t>
  </si>
  <si>
    <t>Обеспечение деятельности подведомственных учреждений ( налоги)</t>
  </si>
  <si>
    <t>Обеспечение деятельности подведомственных учреждений (субс.на пов. ЕТС)</t>
  </si>
  <si>
    <t>Обеспечение деятельности подведомственных учреждений (подвоз детей)</t>
  </si>
  <si>
    <t>Обеспечение деятельности подведомственных учреждений (подписка)</t>
  </si>
  <si>
    <t>Обеспечение деятельности подведомственных учреждений (СЭС, дератизация)</t>
  </si>
  <si>
    <t>4219999</t>
  </si>
  <si>
    <t>4239901</t>
  </si>
  <si>
    <t>7951200</t>
  </si>
  <si>
    <t>7951210</t>
  </si>
  <si>
    <t>7951600</t>
  </si>
  <si>
    <t>Целевые программы муниципальных образований (ВЦП "Развитие системы дополнительного образования спортивно-оздоровительного направления " ДЮСШ)</t>
  </si>
  <si>
    <t>7951700</t>
  </si>
  <si>
    <t>4529902</t>
  </si>
  <si>
    <t>4529903</t>
  </si>
  <si>
    <t>4529904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</si>
  <si>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</si>
  <si>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</si>
  <si>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4239905</t>
  </si>
  <si>
    <t>4419901</t>
  </si>
  <si>
    <t>7951900</t>
  </si>
  <si>
    <t>7951909</t>
  </si>
  <si>
    <t>7951910</t>
  </si>
  <si>
    <t>7951999</t>
  </si>
  <si>
    <t>5079903</t>
  </si>
  <si>
    <t>5055510</t>
  </si>
  <si>
    <t>5055520</t>
  </si>
  <si>
    <t>Обеспечение мер социальной поддержки ветеранов труда и тружеников тыла</t>
  </si>
  <si>
    <t>5055522</t>
  </si>
  <si>
    <t>5055531</t>
  </si>
  <si>
    <t>Обеспечение мер социальной поддержки реабилитированных лиц и лиц, пострадавших от политических репрессий</t>
  </si>
  <si>
    <t>7951300</t>
  </si>
  <si>
    <t xml:space="preserve">Обеспечение мер социальной поддержки ветеранов труда </t>
  </si>
  <si>
    <t>Обеспечение мер социальной поддержки ветеранов труда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</si>
  <si>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</si>
  <si>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</si>
  <si>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4709903</t>
  </si>
  <si>
    <t>Обеспечение деятельности подведомственных учреждений (противопожарные мероприятия)</t>
  </si>
  <si>
    <t>4709933</t>
  </si>
  <si>
    <t>4789902</t>
  </si>
  <si>
    <t>Обеспечение деятельности подведомственных учреждений( кап.тек.рем.)</t>
  </si>
  <si>
    <t>4789922</t>
  </si>
  <si>
    <t>4409902</t>
  </si>
  <si>
    <t>4409922</t>
  </si>
  <si>
    <t>4429903</t>
  </si>
  <si>
    <t>4429933</t>
  </si>
  <si>
    <t>4219903</t>
  </si>
  <si>
    <t>4219933</t>
  </si>
  <si>
    <t>4219902</t>
  </si>
  <si>
    <t>4219922</t>
  </si>
  <si>
    <t>4239902</t>
  </si>
  <si>
    <t>4310102</t>
  </si>
  <si>
    <t>4310122</t>
  </si>
  <si>
    <t>5053401</t>
  </si>
  <si>
    <t>Обеспечение деятельности подведомственных учреждений (КСШ)</t>
  </si>
  <si>
    <t>Обеспечение деятельности подведомственных учреждений ( музей)</t>
  </si>
  <si>
    <t>0016109</t>
  </si>
  <si>
    <t>Осуществление государственных полномочий в области архивного дела (уголь)</t>
  </si>
  <si>
    <t>3450101</t>
  </si>
  <si>
    <t>3450102</t>
  </si>
  <si>
    <t>0980211</t>
  </si>
  <si>
    <t>0980212</t>
  </si>
  <si>
    <t>7951400</t>
  </si>
  <si>
    <t>7952000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</si>
  <si>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</si>
  <si>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</si>
  <si>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4508500</t>
  </si>
  <si>
    <t>Центральный аппарат(МОП)</t>
  </si>
  <si>
    <t>Субсидии на государственную поддержку малого предпринимательства, включая крестьянские (фермерские) хозяйства (софинансирование за счет средств местного бюджета )</t>
  </si>
  <si>
    <t>3510501</t>
  </si>
  <si>
    <t>3510505</t>
  </si>
  <si>
    <t>7952100</t>
  </si>
  <si>
    <t>5089900</t>
  </si>
  <si>
    <t>5089903</t>
  </si>
  <si>
    <t>5089904</t>
  </si>
  <si>
    <t>068</t>
  </si>
  <si>
    <t>Мероприятия в области социальной политики</t>
  </si>
  <si>
    <t>Обеспечение деятельности подведомственных учреждений ("65 лет Победы")</t>
  </si>
  <si>
    <t>5053402</t>
  </si>
  <si>
    <t>5053800</t>
  </si>
  <si>
    <t>5053810</t>
  </si>
  <si>
    <t>5055511</t>
  </si>
  <si>
    <t>5055521</t>
  </si>
  <si>
    <t>5055530</t>
  </si>
  <si>
    <t>5058600</t>
  </si>
  <si>
    <t>Оказание других видов социальной помощи</t>
  </si>
  <si>
    <t>Осуществление государственных полномочий в сфере организации деятельности комиссий по делам несовершеннолетних и защите их прав (средства  местного бюджета)</t>
  </si>
  <si>
    <t>Центральный аппарат (содержание специалистов по составлению сметной документации по Соглашениям с сельскими поселениями)</t>
  </si>
  <si>
    <t>Центральный аппарат (уголь)</t>
  </si>
  <si>
    <t>Осуществление государственных полномочий в области архивного дела (средства местного бюджета)</t>
  </si>
  <si>
    <t>Целевые программы муниципальных образований ("Реформирование муниципальных финансов МО "Усть-Коксинский район" Республики Алтай на 2010-2012 годы")</t>
  </si>
  <si>
    <t>Целевые программы муниципальных образований (РЦП "Улучшение условий  и охрана труда 2006-2010г.г.")</t>
  </si>
  <si>
    <t>Целевые программы муниципальных образований ( РЦП "Борьба с преступностью на территории Усть-Коксинского района на 2008-2010 годы")</t>
  </si>
  <si>
    <t>Целевые программы муниципальных образований (РЦП "Повышение безопасности дорожного движения в Усть-Коксинском районе РА в 2010-2012 годах")</t>
  </si>
  <si>
    <t>Целевые программы муниципальных образований ("Профилактика правонарушений в МО "Усть-Коксинский район" на период 2006-2010г.г.")</t>
  </si>
  <si>
    <t>Мероприятия по землеустройству и землепользованию (разработка гениральных планов сел Усть-Коксинского района)</t>
  </si>
  <si>
    <t>Субсидии на государственную поддержку малого и среднего предпринимательства, включая крестьянские (фермерские) хозяйства (Субсидирование % ставок (средства местного  бюджета))</t>
  </si>
  <si>
    <t>Субсидии на государственную поддержку малого и среднего предпринимательства, включая крестьянские (фермерские) хозяйства (гарантии (средства местного  бюджета))</t>
  </si>
  <si>
    <t>Обеспечение мероприятий по капитальному ремонту многоквартирных домов (средства местного бюджета)</t>
  </si>
  <si>
    <t>Обеспечение мероприятий по переселению граждан из аварийного жилищного фонда (средства местного бюджета)</t>
  </si>
  <si>
    <t>Обеспечение деятельности подведомственных учреждений (платные услуги)</t>
  </si>
  <si>
    <t>Целевые программы муниципальных образований (Развитие физической культуры и спорта в МО "Усть-Коксинский район" на 2008-2011 годы)</t>
  </si>
  <si>
    <t>Целевые программы муниципальных образований (Развитие физической культуры и спорта в МО "Усть-Коксинский район" на 2008-2011 годы по Соглашениям с сельскими поселениями)</t>
  </si>
  <si>
    <t>Целевые программы муниципальных образований (Обеспечение жильем молодых семей на 2002-2012 годы в МО "Усть-Коксинский район" РА)</t>
  </si>
  <si>
    <t>Обеспечение деятельности подведомственных учреждений (медикаменты)</t>
  </si>
  <si>
    <t>Обеспечение деятельности подведомственных учреждений (продукты питания)</t>
  </si>
  <si>
    <t>Обеспечение деятельности подведомственных учреждений (противопожарные мероприятия (средства местного бюджета))</t>
  </si>
  <si>
    <t>Обеспечение деятельности подведомственных учреждений (капитальный и текущий ремонт)</t>
  </si>
  <si>
    <t>Обеспечение деятельности подведомственных учреждений (централизованная бухгалтерия)</t>
  </si>
  <si>
    <t>Целевые программы муниципальных образований (ВЦП "Профилактика и предупреждение распространения туберкулеза в МО "Усть-Коксинский район" на 2010-2012 годы")</t>
  </si>
  <si>
    <t>Целевые программы муниципальных образований (ВЦП "Профилактика клещевого энцефалита в Усть-Коксинском районе на 2010-2012 годы")</t>
  </si>
  <si>
    <t>Целевые программы муниципальных образований (ВЦП "Вакцинопрофилактика вирусного гепатита "А" в Усть-Коксинском районе")</t>
  </si>
  <si>
    <t>Целевые программы муниципальных образований (Предупреждение распространения заболеваний, вызванных высокопатогенным вирусом гриппа А (Н1 N1))</t>
  </si>
  <si>
    <t>Обеспечение деятельности подведомственных учреждений (по Соглашениям с сельскими поселениями)</t>
  </si>
  <si>
    <t>Обеспечение деятельности подведомственных учреждений (капитальный и текущий ремонт (средства местного бюджета))</t>
  </si>
  <si>
    <t>Обеспечение деятельности подведомственных учреждений (Автономное некоммерческое учреждение "Музей истории и культуры Уймонской долины" МО "Усть-Коксинский район" РА)</t>
  </si>
  <si>
    <t>Обеспечение деятельности подведомственных учреждений (библиотека с.Верх-Уймон)</t>
  </si>
  <si>
    <t>Целевые программы муниципальных образований ( ВЦП "Развитие библиотечной системы в МО "Усть-Коксинский район" РА на 2010-2015 годы)</t>
  </si>
  <si>
    <t>Целевые программы муниципальных образований (ВЦП "Культура МУ АМО "Дом Творчества и Досуга" на 2010-2015 годы" )</t>
  </si>
  <si>
    <t>Обеспечение деятельности подведомственных учреждений (детские сады)</t>
  </si>
  <si>
    <t>Обеспечение деятельности подведомственных учреждений (субсидии на ежемесячную надбавку к заработной плате специалистам в муниципальных образовательных учреждениях)</t>
  </si>
  <si>
    <t>Обеспечение деятельности подведомственных учреждений (питание учащихся из малообеспеченных семей)</t>
  </si>
  <si>
    <t>Обеспечение деятельности подведомственных учреждений (платные услуги в школах)</t>
  </si>
  <si>
    <t>Обеспечение деятельности подведомственных учреждений (продукты питания в школах)</t>
  </si>
  <si>
    <t>Обеспечение деятельности подведомственных учреждений (МОУДОД "Детско-юношеская спортивная школа")</t>
  </si>
  <si>
    <t>Обеспечение деятельности подведомственных учреждений (Автономное некоммерческое образовательное учреждение образования детей "Детско-юношеская конноспортивная школа" с.Усть-Кокса МО "Усть-Коксинский район" РА)</t>
  </si>
  <si>
    <t>Целевые программы муниципальных образований (Развитие дошкольного образования  в МО "Усть-Коксинский район" на 2009-2011 годы)</t>
  </si>
  <si>
    <t>Целевые программы муниципальных образований (Развитие дошкольного образования  в МО "Усть-Коксинский район" на 2009-2011 годы (платные услуги))</t>
  </si>
  <si>
    <t>Целевые программы муниципальных образований ( ВЦП "Дом детского творчества" с. Усть-Коксы (ДДТ) на 2010-2012 годы Родное Беловодье")</t>
  </si>
  <si>
    <t>Обеспечение деятельности подведомственных учреждений (осуществление деятельности органов местного самоуправления по опеке и попечительству)</t>
  </si>
  <si>
    <t>Обеспечение деятельности подведомственных учреждений (хозяйственная группа)</t>
  </si>
  <si>
    <t>810</t>
  </si>
  <si>
    <t>852</t>
  </si>
  <si>
    <t>Субсидии юридическим лицам (кроме государственных учреждений) и физическим лицам - производителям товаров, работ, услуг</t>
  </si>
  <si>
    <t>Обеспечение деятельности подведомственных учреждений (Районный психологический кабинет отдела образования администрации Муниципального образования "Усть-Коксинский район")</t>
  </si>
  <si>
    <t>Обеспечение деятельности подведомственных учреждений (Методический кабинет отдела образования администрации МО "Усть-Коксинский район" РА)</t>
  </si>
  <si>
    <t>Мероприятия в области коммунального хозяйства (оплата лизинговых платежей)</t>
  </si>
  <si>
    <t>Мероприятия в области коммунального хозяйства ( субсидии на подготовку к отопительному сезону)</t>
  </si>
  <si>
    <t>Мероприятия в области коммунального хозяйства ( субсидии на приобретение спецтехники и оборудования для нужд коммунального комплекса)</t>
  </si>
  <si>
    <t>Целевые программы муниципальных образований (МЦП "Энергосбережение в жилищно- коммунальном хозяйстве МО "Усть-Коксинский район" РА )</t>
  </si>
  <si>
    <t>Итого условно утверждаемые расходы</t>
  </si>
  <si>
    <t>9999</t>
  </si>
  <si>
    <t>999</t>
  </si>
  <si>
    <t>Программа "Развитие агропромышленного комплекса  Республики Алтай на 2009-2012 годы", подпрограмма   "Социальное развитие села до 2010г." (водопровод с.Талда)</t>
  </si>
  <si>
    <t>Проведение мероприятий для детей и молодежи (платные услуги)</t>
  </si>
  <si>
    <t>Целевые программы муниципальных образований (ВЦП "Оздоровление и отдых детей и подростков находящихся в трудной жизненной ситуации")</t>
  </si>
  <si>
    <t>Целевые программы муниципальных образований (ВЦП "Оздоровление и отдых детей и подростков находящихся в трудной жизненной ситуации" (платные услуги))</t>
  </si>
  <si>
    <t>Целевые программы муниципальных образований (ВЦП "Оздоровление и отдых детей и подростков находящихся в трудной жизненной ситуации" (дрова))</t>
  </si>
  <si>
    <t>Целевые программы муниципальных образований (Развитие дошкольного образования  в МО "Усть-Коксинский район" на 2009-2011 годы (уголь))</t>
  </si>
  <si>
    <t>Обеспечение деятельности подведомственных учреждений (У-Коксинский МКЦ соц.обслуживания семьи и детей)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</si>
  <si>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		
</t>
  </si>
  <si>
    <t>Реализация иных мер социальной поддержки отдельных категорий граждан</t>
  </si>
  <si>
    <t>Реализация иных мер социальной поддержки отдельных категорий граждан ( средства местного бюджета)</t>
  </si>
  <si>
    <t>Предоставление мер социальной поддержки некоторым категориям работников, проживающих в сельской местности РА (средства местного бюджета)</t>
  </si>
  <si>
    <t>Центральный аппарат (содержание специалистов по оплате труда)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</si>
  <si>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209-2025г.г.)</t>
  </si>
  <si>
    <t>0908</t>
  </si>
  <si>
    <t>Физическая культура и спорт</t>
  </si>
  <si>
    <t>5089902</t>
  </si>
  <si>
    <t xml:space="preserve">образования "Усть-Коксинский район" РА </t>
  </si>
  <si>
    <t>0105</t>
  </si>
  <si>
    <t>0014000</t>
  </si>
  <si>
    <t>5229606</t>
  </si>
  <si>
    <t>5222792</t>
  </si>
  <si>
    <t>5100300</t>
  </si>
  <si>
    <t>022</t>
  </si>
  <si>
    <t>4320201</t>
  </si>
  <si>
    <t>4529933</t>
  </si>
  <si>
    <t>3510502</t>
  </si>
  <si>
    <t>8101008</t>
  </si>
  <si>
    <t>0016300</t>
  </si>
  <si>
    <t>0016303</t>
  </si>
  <si>
    <t>Мероприятия в сфере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</si>
  <si>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</si>
  <si>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</si>
  <si>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Подпр. "Обеспеч.зем.уч.комм.инфрастр.в целях жилищ.строит.на террит.РА" РЦП "Жилище" на 2002-2010гг.</t>
  </si>
  <si>
    <t>Программа "Развитие агропромышленного комплекса  Республики Алтай на 2009-2012 годы", подпрограмма "Социальное развитие села до 2010г."(обеспечение жильем молодых семей и молодых специалистов; средства местного бюджета)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</si>
  <si>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</si>
  <si>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Оздоровление детей ( средства республиканского бюджета)</t>
  </si>
  <si>
    <t>Обеспечение деятельности подведомственных учреждений (противопожарные мероприятия(средства местного бюджета))</t>
  </si>
  <si>
    <t>Мероприятия в  области коммунального хозяйства (ремонт аварийных объектов)</t>
  </si>
  <si>
    <t>Субсидии на подготовку к отопительному сезону объектов жилищно-коммунального хозяйства</t>
  </si>
  <si>
    <t>Реализация иных мер социальной поддержки отдельных категорий граждан (средства местного бюджета)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</si>
  <si>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</si>
  <si>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(Усть-Коксинский МКЦ)</t>
  </si>
  <si>
    <t>0014300</t>
  </si>
  <si>
    <t>5227900</t>
  </si>
  <si>
    <t>0980101</t>
  </si>
  <si>
    <t>0980104</t>
  </si>
  <si>
    <t>0980201</t>
  </si>
  <si>
    <t>0980204</t>
  </si>
  <si>
    <t>0980214</t>
  </si>
  <si>
    <t>3500000</t>
  </si>
  <si>
    <t>7952200</t>
  </si>
  <si>
    <t>1001100</t>
  </si>
  <si>
    <t>1001101</t>
  </si>
  <si>
    <t>1040200</t>
  </si>
  <si>
    <t>5222702</t>
  </si>
  <si>
    <t>5222742</t>
  </si>
  <si>
    <t>7952400</t>
  </si>
  <si>
    <t>7952300</t>
  </si>
  <si>
    <t>0700200</t>
  </si>
  <si>
    <t>4361500</t>
  </si>
  <si>
    <t>4361501</t>
  </si>
  <si>
    <t>3510504</t>
  </si>
  <si>
    <t>8101001</t>
  </si>
  <si>
    <t>4361502</t>
  </si>
  <si>
    <t>Осуществление полномочий по подготовке проведения статистических переписей</t>
  </si>
  <si>
    <t>РЦП "Развитие малого предпринимательства в Республике Алтай на 2008-2010г.г."</t>
  </si>
  <si>
    <t>Обеспечение мероприятий по капитальному ремонту многоквартирных домов за счет средств,поступивщих от гос корпорации</t>
  </si>
  <si>
    <t xml:space="preserve">Обеспечение мероприятий по капитальному ремонту многоквартирных домов за счет средств республиканского бюджета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</si>
  <si>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</si>
  <si>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</si>
  <si>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851</t>
  </si>
  <si>
    <t>612</t>
  </si>
  <si>
    <t>Субсидии бюджетным учреждениям на иные цели</t>
  </si>
  <si>
    <t>313</t>
  </si>
  <si>
    <t>1301</t>
  </si>
  <si>
    <t>730</t>
  </si>
  <si>
    <t>Обслуживание внутреннего  муниципального долга</t>
  </si>
  <si>
    <t xml:space="preserve">Обслуживание муниципального долга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</si>
  <si>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(средства местного бюджета)</t>
  </si>
  <si>
    <t xml:space="preserve">Поддержка жилищного хозяйства </t>
  </si>
  <si>
    <t>Целевые программы муниципальных образований (ВЦП "Развитие и сохранение культуры МО "Усть-Коксинский район РА" на 2010-2015 годы" )</t>
  </si>
  <si>
    <t>Федеральная целевая программа "Социальное развитие села до 2012 года"</t>
  </si>
  <si>
    <t>Федеральная целевая программа "Социальное развитие села до 2012 года"(мероприятия по улучшению жилищных условий)</t>
  </si>
  <si>
    <t>Подпрограмма "Обеспечение жильем молодых семей"</t>
  </si>
  <si>
    <t>Программа "Развитие агропромышленного комплекса  Республики Алтай на 2009-2012 годы", подпрограмма "Социальное развитие села до 2010г."</t>
  </si>
  <si>
    <t>Программа "Развитие агропромышленного комплекса  Республики Алтай на 2009-2012 годы", подпрограмма   "Социальное развитие села до 2010г." (мероприятия по улучшению жилищных условий)</t>
  </si>
  <si>
    <t xml:space="preserve"> Целевые программы муниципальных образований (Подпрограмма  "Социальное развтите села до 2012 года" на 2010-2012 годы в МО "Усть-Коксинский район"Республики Алтай)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</si>
  <si>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район"РА )</t>
  </si>
  <si>
    <t>Резервный фонд Президента Российской Федерации</t>
  </si>
  <si>
    <t>Мероприятия в области коммунального хозяйства (субсидии республиканского бюджета на подготовку к отопительному сезону объектов жкх)</t>
  </si>
  <si>
    <t>Капитальный и текущий ремонт объектов социально-культурной сферы</t>
  </si>
  <si>
    <t>Бюджетные инвестиции в объекты капитального строительства собственности муниципальных образований (соф. Талда водопр.)</t>
  </si>
  <si>
    <t>Программа "Развитие агропромышленного комплекса  Республики Алтай на 2009-2012 годы", подпрограмма "Социальное развитие села до 2010г." (водопр. с.Талда)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</si>
  <si>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</si>
  <si>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учреждений(средства РБ)</t>
  </si>
  <si>
    <t>Проведение противоаварийных мероприятий в зданиях государственных и муниципальных общеобразовательных учреждений(средства мест бюджета)</t>
  </si>
  <si>
    <t>0014301</t>
  </si>
  <si>
    <t>Осуществление полномочий по подготовке проведения статистических переписей(средства местного бюджета)</t>
  </si>
  <si>
    <t>7952500</t>
  </si>
  <si>
    <t>5229604</t>
  </si>
  <si>
    <t>5225100</t>
  </si>
  <si>
    <t>0406</t>
  </si>
  <si>
    <t>1020182</t>
  </si>
  <si>
    <t>1020122</t>
  </si>
  <si>
    <t>0016301</t>
  </si>
  <si>
    <t>0016302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</si>
  <si>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 программы "Защита от жестокого обращения и профилактика насилия детей в РА на 2010-2012г.г.")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</si>
  <si>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(реализация программы "Социальная адоптация граждан, освобожденных из мест лишения свободы, в РА")</t>
  </si>
  <si>
    <t>Бюджетные инвестиции в объекты капитального строительства собственности муниципальных образований (ПИР школа с.Сугаш)</t>
  </si>
  <si>
    <t>Водное хозяйство</t>
  </si>
  <si>
    <t>Бюджетные инвестиции в объекты капитального строительства собственности муниципальных образований (ПИР "Инженерная защита с.Усть- Кокса")</t>
  </si>
  <si>
    <t>РЦП"Энергосбережение в жилищно-коммунальном хозяйстве Республики Алтай на 2010-2015 годы"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</si>
  <si>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</si>
  <si>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Приложение </t>
  </si>
  <si>
    <t>к решению "О бюджете Муниципального</t>
  </si>
  <si>
    <t>на 2011 год и на плановый период 2012 и 2013 годов"</t>
  </si>
  <si>
    <t>5053600</t>
  </si>
  <si>
    <t>1105</t>
  </si>
  <si>
    <t>7950900</t>
  </si>
  <si>
    <t>7951201</t>
  </si>
  <si>
    <t>0107</t>
  </si>
  <si>
    <t>0200002</t>
  </si>
  <si>
    <t>0200003</t>
  </si>
  <si>
    <t>7952600</t>
  </si>
  <si>
    <t>Целевые программы муниципальных образований (МЦП  "Ремонт аворийных объектов" на 2011-2013 годы )</t>
  </si>
  <si>
    <t>Целевые программы муниципальных образований( ЦП " Подготовка к отопительному сезону 2011-2012 ")</t>
  </si>
  <si>
    <t>1401</t>
  </si>
  <si>
    <t>1403</t>
  </si>
  <si>
    <t>1020142</t>
  </si>
  <si>
    <t>Бюджетные инвестиции в объекты капитального строительства собственности муниципальных образований (ЛЭП 2-я очер.)</t>
  </si>
  <si>
    <t>1020162</t>
  </si>
  <si>
    <t>Бюджетные инвестиции в объекты капитального строительства собственности муниципальных образований (соф.шк. В-Уймон)</t>
  </si>
  <si>
    <t>Прочие межбюджетные трансферты бюджетам субъектов Российской Федерации и муниципальных образований общего характера</t>
  </si>
  <si>
    <t>Уплата налога на имущество организаций и земельного налога</t>
  </si>
  <si>
    <t>0204</t>
  </si>
  <si>
    <t>880</t>
  </si>
  <si>
    <t>Специальные расходы</t>
  </si>
  <si>
    <t>Мобилизационная подготовка экономики</t>
  </si>
  <si>
    <t>Дотации на выравнивание бюджетной обеспеченности субъектов Российской Федерации и муниципальных образований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</si>
  <si>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</si>
  <si>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</si>
  <si>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Обеспечение проведения выборов и референдумов</t>
  </si>
  <si>
    <t>Развитие дошкольного образования в "МО Усть-Коксинский район"РА на 2009-2011 годы</t>
  </si>
  <si>
    <t>ВЦП " Скорая медицинская помощь в Усть-Коксинском районе"на 2010-2012 годы</t>
  </si>
  <si>
    <t>Другие вопросы в области физической культуры и спорта</t>
  </si>
  <si>
    <t>ЦП "развитие малого и среднего предпринимательства  на 2011-2013 годы</t>
  </si>
  <si>
    <t>Целевые программы муниципальных образований (ДМЦП "Энергосбережение и повышение энергетической эффективности в бюджетных учреждениях МО"Усть-Коксинский район" на 2010-2014 годы")</t>
  </si>
  <si>
    <t>по ведомственной классификации расходов на  плановый период 2012 и 2013 годов</t>
  </si>
  <si>
    <t>2012г</t>
  </si>
  <si>
    <t>Сумма измен. 2012г.</t>
  </si>
  <si>
    <t>С учетом измен 2012г.</t>
  </si>
  <si>
    <t>Сумма 2013г.</t>
  </si>
  <si>
    <t>9</t>
  </si>
  <si>
    <t>0701</t>
  </si>
  <si>
    <t>Дошкольное образование</t>
  </si>
  <si>
    <t>1202</t>
  </si>
  <si>
    <t>образования "Усть-Коксинский район" РА</t>
  </si>
  <si>
    <t>0111</t>
  </si>
  <si>
    <t>0113</t>
  </si>
  <si>
    <t>Другие вопросы в области культуры, кинематографии</t>
  </si>
  <si>
    <t>0203</t>
  </si>
  <si>
    <t>Мобилизационная и вневойсковая подготовка</t>
  </si>
  <si>
    <t xml:space="preserve">Выполнение функций государственными органами </t>
  </si>
  <si>
    <t>244</t>
  </si>
  <si>
    <t>121</t>
  </si>
  <si>
    <t>122</t>
  </si>
  <si>
    <t>870</t>
  </si>
  <si>
    <t>242</t>
  </si>
  <si>
    <t>630</t>
  </si>
  <si>
    <t>611</t>
  </si>
  <si>
    <t>312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</si>
  <si>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</si>
  <si>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</si>
  <si>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</si>
  <si>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</si>
  <si>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Резервные средства</t>
  </si>
  <si>
    <t>Субсидии некоммерческим организациям (за исключением государственных учреждений)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</si>
  <si>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</si>
  <si>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Пенсии, выплачиваемые организациями сектора государственного управления</t>
  </si>
  <si>
    <t>Субсидии гражданам на приобретение жилья</t>
  </si>
  <si>
    <t>Меры социальной поддержки населения по публичным нормативным обязательствам</t>
  </si>
  <si>
    <t>111</t>
  </si>
  <si>
    <t>112</t>
  </si>
  <si>
    <t>530</t>
  </si>
  <si>
    <t>511</t>
  </si>
  <si>
    <t>Дотации на выравнивание бюджетной обеспеченности субъектов Российской Федерации</t>
  </si>
  <si>
    <t>Субвенции</t>
  </si>
  <si>
    <t>Админ</t>
  </si>
  <si>
    <t>КФСР</t>
  </si>
  <si>
    <t>КЦСР</t>
  </si>
  <si>
    <t>КВР</t>
  </si>
  <si>
    <t>Наименование расхода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</si>
  <si>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</si>
  <si>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</si>
  <si>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</si>
  <si>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</si>
  <si>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</si>
  <si>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</si>
  <si>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</si>
  <si>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</si>
  <si>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</si>
  <si>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</si>
  <si>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</si>
  <si>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</si>
  <si>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</si>
  <si>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</si>
  <si>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</si>
  <si>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</si>
  <si>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</si>
  <si>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</si>
  <si>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</si>
  <si>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</si>
  <si>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</si>
  <si>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</si>
  <si>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0016000</t>
  </si>
  <si>
    <t>Осуществление государственных полномочий по вопросам административного законодательства</t>
  </si>
  <si>
    <t>012</t>
  </si>
  <si>
    <t>Выполнение функций государственными органами</t>
  </si>
  <si>
    <t>0016200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</si>
  <si>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</si>
  <si>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0016500</t>
  </si>
  <si>
    <t>Осуществление государственных полномочий по лицензированию розничной продажи алкогольной продукции</t>
  </si>
  <si>
    <t>001</t>
  </si>
  <si>
    <t>Выполнение функций бюджетными учреждениями</t>
  </si>
  <si>
    <t>0020401</t>
  </si>
  <si>
    <t>Центральный аппарат</t>
  </si>
  <si>
    <t>0020402</t>
  </si>
  <si>
    <t>0020409</t>
  </si>
  <si>
    <t>0112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</si>
  <si>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</si>
  <si>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</si>
  <si>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</si>
  <si>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</si>
  <si>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</si>
  <si>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0700501</t>
  </si>
  <si>
    <t>Резервные фонды местных администраций (субс.с/п)</t>
  </si>
  <si>
    <t>0114</t>
  </si>
  <si>
    <t>Другие общегосударственные вопросы</t>
  </si>
  <si>
    <t>0016100</t>
  </si>
  <si>
    <t>Осуществление государственных полномочий в области архивного дела</t>
  </si>
  <si>
    <t>7950300</t>
  </si>
  <si>
    <t>0302</t>
  </si>
  <si>
    <t>Органы внутренних дел</t>
  </si>
  <si>
    <t>7950600</t>
  </si>
  <si>
    <t>7950700</t>
  </si>
  <si>
    <t>7950800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</si>
  <si>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</si>
  <si>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</si>
  <si>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</si>
  <si>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</si>
  <si>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014</t>
  </si>
  <si>
    <t>Функционирование органов в сфере национальной безопасности, правоохранительной деятельности и обороны</t>
  </si>
  <si>
    <t>0405</t>
  </si>
  <si>
    <t>Сельское хозяйство и рыболовство</t>
  </si>
  <si>
    <t>0020400</t>
  </si>
  <si>
    <t>0411</t>
  </si>
  <si>
    <t>Прикладные научные исследования в области национальной экономики</t>
  </si>
  <si>
    <t>3400301</t>
  </si>
  <si>
    <t>Мероприятия по землеустройству и землепользованию (схема террит.планир.)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</si>
  <si>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</si>
  <si>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</si>
  <si>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</si>
  <si>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</si>
  <si>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3400302</t>
  </si>
  <si>
    <t>5053601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</si>
  <si>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</si>
  <si>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003</t>
  </si>
  <si>
    <t>Бюджетные инвестиции</t>
  </si>
  <si>
    <t>0702</t>
  </si>
  <si>
    <t>Общее образование</t>
  </si>
  <si>
    <t>4239900</t>
  </si>
  <si>
    <t>Обеспечение деятельности подведомственных учреждений</t>
  </si>
  <si>
    <t>4239910</t>
  </si>
  <si>
    <t>Обеспечение деятельности подведомственных учреждений (плат.услуги)</t>
  </si>
  <si>
    <t>0910</t>
  </si>
  <si>
    <t>Другие вопросы в области здравоохранения, физической культуры и спорта</t>
  </si>
  <si>
    <t>7951000</t>
  </si>
  <si>
    <t>079</t>
  </si>
  <si>
    <t>Мероприятия в области здравоохранения, спорта и физической культуры, туризма</t>
  </si>
  <si>
    <t>7951002</t>
  </si>
  <si>
    <t>1003</t>
  </si>
  <si>
    <t>Социальное обеспечение населения</t>
  </si>
  <si>
    <t>501</t>
  </si>
  <si>
    <t>Субсидии на обеспечение жильем</t>
  </si>
  <si>
    <t>005</t>
  </si>
  <si>
    <t>Социальные выплаты</t>
  </si>
  <si>
    <t>055</t>
  </si>
  <si>
    <t>ЦЕНТРАЛЬНАЯ БОЛЬНИЦА МУНИЦИПАЛЬНОГО ОБРАЗОВАНИЯ "УСТЬ-КОКСИНСКИЙ РАЙОН" РЕСПУБЛИКИ АЛТАЙ</t>
  </si>
  <si>
    <t>0901</t>
  </si>
  <si>
    <t>Стационарная медицинская помощь</t>
  </si>
  <si>
    <t>4709900</t>
  </si>
  <si>
    <t>4709907</t>
  </si>
  <si>
    <t>4709908</t>
  </si>
  <si>
    <t>4709909</t>
  </si>
  <si>
    <t>Обеспечение деятельности подведомственных учреждений (уголь, дрова)</t>
  </si>
  <si>
    <t>4709910</t>
  </si>
  <si>
    <t>0902</t>
  </si>
  <si>
    <t>Амбулаторная помощь</t>
  </si>
  <si>
    <t>4719900</t>
  </si>
  <si>
    <t>4719907</t>
  </si>
  <si>
    <t>4789900</t>
  </si>
  <si>
    <t>4789909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</si>
  <si>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</si>
  <si>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</si>
  <si>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</si>
  <si>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</si>
  <si>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</si>
  <si>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</si>
  <si>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4529900</t>
  </si>
  <si>
    <t>7950400</t>
  </si>
  <si>
    <t>057</t>
  </si>
  <si>
    <t>ОТДЕЛ КУЛЬТУРЫ АДМИНИСТРАЦИИ МУНИЦИПАЛЬНОГО ОБРАЗОВАНИЯ "УСТЬ-КОКСИНСКИЙ РАЙОН"</t>
  </si>
  <si>
    <t>4239909</t>
  </si>
  <si>
    <t>0801</t>
  </si>
  <si>
    <t>Культура</t>
  </si>
  <si>
    <t>4409900</t>
  </si>
  <si>
    <t>4409901</t>
  </si>
  <si>
    <t>4409909</t>
  </si>
  <si>
    <t>4409910</t>
  </si>
  <si>
    <t>4429900</t>
  </si>
  <si>
    <t>4429909</t>
  </si>
  <si>
    <t>4439900</t>
  </si>
  <si>
    <t>4439910</t>
  </si>
  <si>
    <t>4500600</t>
  </si>
  <si>
    <t>Комплектование книжных фондов библиотек муниципальных образований</t>
  </si>
  <si>
    <t>0806</t>
  </si>
  <si>
    <t>Другие вопросы в области культуры, кинематографии, средств массовой информации</t>
  </si>
  <si>
    <t>4529909</t>
  </si>
  <si>
    <t>074</t>
  </si>
  <si>
    <t>ОТДЕЛ ОБРАЗОВАНИЯ АДМИНИСТРАЦИИ МУНИЦИПАЛЬНОГО ОБРАЗОВАНИЯ "УСТЬ-КОКСИНСКИЙ РАЙОН" РЕСПУБЛИКИ АЛТАЙ</t>
  </si>
  <si>
    <t>4219900</t>
  </si>
  <si>
    <t>4219901</t>
  </si>
  <si>
    <t>4219904</t>
  </si>
  <si>
    <t>Обеспечение деятельности подведомственных учреждений (школы)</t>
  </si>
  <si>
    <t>4219905</t>
  </si>
  <si>
    <t>4219908</t>
  </si>
  <si>
    <t>4219909</t>
  </si>
  <si>
    <t>4219910</t>
  </si>
  <si>
    <t>4219998</t>
  </si>
  <si>
    <t>5200900</t>
  </si>
  <si>
    <t>Ежемесячное денежное вознаграждение за классное руководство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</si>
  <si>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</si>
  <si>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</si>
  <si>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</si>
  <si>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</si>
  <si>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4529901</t>
  </si>
  <si>
    <t>1004</t>
  </si>
  <si>
    <t>Охрана семьи и детства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</si>
  <si>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</si>
  <si>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</si>
  <si>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5057200</t>
  </si>
  <si>
    <t>Предоставление доп.гарантий по соц.поддержке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</si>
  <si>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</si>
  <si>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</si>
  <si>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</si>
  <si>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</si>
  <si>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</si>
  <si>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</si>
  <si>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092</t>
  </si>
  <si>
    <t>ФИНАНСОВОЕ УПРАВЛЕНИЕ АДМИНИСТРАЦИИ МУНИЦИПАЛЬНОГО ОБРАЗОВАНИЯ "УСТЬ-КОКСИНСКИЙ РАЙОН" РЕСПУБЛИКИ АЛТАЙ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</si>
  <si>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</si>
  <si>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</si>
  <si>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3450100</t>
  </si>
  <si>
    <t>Субсидии на государственную поддержку малого предпринимательства, включая крестьянские (фермерские) хозяйства</t>
  </si>
  <si>
    <t>006</t>
  </si>
  <si>
    <t>Субсидии юридическим лицам</t>
  </si>
  <si>
    <t>0502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</si>
  <si>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</si>
  <si>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</si>
  <si>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</si>
  <si>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</si>
  <si>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</si>
  <si>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</si>
  <si>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0503</t>
  </si>
  <si>
    <t>Благоустройство</t>
  </si>
  <si>
    <t>7950500</t>
  </si>
  <si>
    <t>Целевые программы муниципальных образований (Питьевая вода на 2006-2010г.г.)</t>
  </si>
  <si>
    <t>0804</t>
  </si>
  <si>
    <t>Периодическая печать и издательства</t>
  </si>
  <si>
    <t>4578500</t>
  </si>
  <si>
    <t>Государственная поддержка в сфере культуры, кинематографии и средств массовой информации</t>
  </si>
  <si>
    <t>1101</t>
  </si>
  <si>
    <t>Дотации бюджетам субъектов Российской Федерации и муниципальных образований</t>
  </si>
  <si>
    <t>5160110</t>
  </si>
  <si>
    <t xml:space="preserve">Выравнивание бюджетной обеспеченности поселений из регионального фонда финансовой поддержки </t>
  </si>
  <si>
    <t>008</t>
  </si>
  <si>
    <t>Фонд финансовой поддержки</t>
  </si>
  <si>
    <t>5160130</t>
  </si>
  <si>
    <t xml:space="preserve">Выравнивание бюджетной обеспеченности поселений из районного фонда финансовой поддержки </t>
  </si>
  <si>
    <t>1102</t>
  </si>
  <si>
    <t>Субсидии бюджетам субъектов Российской Федерации и муниципальных образований (межбюджетные субсидии)</t>
  </si>
  <si>
    <t>010</t>
  </si>
  <si>
    <t>Фонд софинансирования</t>
  </si>
  <si>
    <t>8101003</t>
  </si>
  <si>
    <t>Софинансирование расходов связанных с реализацией вопросов местного значения поселений связанных с реализацией ФЗ-131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</si>
  <si>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</si>
  <si>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</si>
  <si>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</si>
  <si>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</si>
  <si>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</si>
  <si>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</si>
  <si>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1104</t>
  </si>
  <si>
    <t>Иные межбюджетные трансферты</t>
  </si>
  <si>
    <t>5210300</t>
  </si>
  <si>
    <t>Иные межбюджетные трансферты бюджетам бюджетной системы</t>
  </si>
  <si>
    <t>017</t>
  </si>
  <si>
    <t>132</t>
  </si>
  <si>
    <t xml:space="preserve">МУНИЦИПАЛЬНОЕ УЧРЕЖДЕНИЕ КАПИТАЛЬНОГО СТРОИТЕЛЬСТВА МУНИЦИПАЛЬНОГО ОБРАЗОВАНИЯ "УСТЬ-КОКСИНСКИЙ РАЙОН" РЕСПУБЛИКИ АЛТАЙ </t>
  </si>
  <si>
    <t>0939900</t>
  </si>
  <si>
    <t>5230101</t>
  </si>
  <si>
    <t>Развитие социальной и инженерной инфраструктуры</t>
  </si>
  <si>
    <t>0505</t>
  </si>
  <si>
    <t>Сумма измен. 2015г.</t>
  </si>
  <si>
    <t>С учетом измен 2015г.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</si>
  <si>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</si>
  <si>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</si>
  <si>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Ведомственная структура расходов</t>
  </si>
  <si>
    <t>2015г.</t>
  </si>
  <si>
    <t>990Г011</t>
  </si>
  <si>
    <t>Глава муниципального образования МО "Усть-Коксинский район" РА</t>
  </si>
  <si>
    <t xml:space="preserve">Иные выплаты , за исключением фонда оплаты труда </t>
  </si>
  <si>
    <t>Материально-техническое обеспечение районного Совета Депутатов</t>
  </si>
  <si>
    <t>9902501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</si>
  <si>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</si>
  <si>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9902511</t>
  </si>
  <si>
    <t>Материально-техническое обеспечение Администрации МО "Усть-Коксинский район" РА</t>
  </si>
  <si>
    <t xml:space="preserve">Резервный фонд МО "Усть-Коксинский район" РА </t>
  </si>
  <si>
    <t xml:space="preserve">Создание оптимальных условий для обеспечения сохранности документов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 </t>
  </si>
  <si>
    <t>Проведение и реализация мероприятий направленных на укрепление института семьи, повышение статуса семьи в обществе, возрождение и сохранение духовно-нравственных традиций семейных отношений в рамках подпрограммы "Развитие взаимодействия органов местного самоуправления и общества" Муниципальной программы «Социальное развитие МО «Усть-Коксинский район» Республики Алтай на 2013-2018 годы»</t>
  </si>
  <si>
    <t>Организация проведений мероприятий, направленных на укрепление статуса профессий в рамках подпрограммы "Развитие взаимодействия органов местного самоуправления и общества" Муниципальной программы «Социальное развитие МО «Усть-Коксинский район» Республики Алтай на 2013-2018 годы»</t>
  </si>
  <si>
    <t>Мероприятия по профилактике алкоголизма, наркомании и табакокурение в рамках подпрограммы "Развитие взаимодействия органов местного самоуправления и общества" Муниципальной программы «Социальное развитие МО «Усть-Коксинский район» Республики Алтай на 2013-2018 годы»</t>
  </si>
  <si>
    <t>9901501</t>
  </si>
  <si>
    <t>9902502</t>
  </si>
  <si>
    <t>Осуществление государственных полномочий в области законодательства об административных правонарушениях</t>
  </si>
  <si>
    <t>9902503</t>
  </si>
  <si>
    <t>9906011</t>
  </si>
  <si>
    <t>Мероприятия в области мобилизационной подготовки</t>
  </si>
  <si>
    <t>Резервный фонд МО "Усть-Коксинский район" РА по предуприждению и ликвидации чрезвычайных ситуаций и последствий стихийных бедствий</t>
  </si>
  <si>
    <t>0314</t>
  </si>
  <si>
    <t>Мероприятия по выплате вознограждений за добровольную сдачу огнестрельного оружия в рамках подпрограммы "Развитие взаимодействия органов местного самоуправления и общества" Муниципальной программы «Социальное развитие МО «Усть-Коксинский район» Республики Алтай на 2013-2018 годы»</t>
  </si>
  <si>
    <t>360</t>
  </si>
  <si>
    <t>Иные выплаты населению</t>
  </si>
  <si>
    <t>0412001</t>
  </si>
  <si>
    <t>Материально-техническое обеспечение в отделе сельского хозяйства в рамках Муниципальной  программы «Экономическое развитие  муниципального образования «Усть-Коксинский район» Республики Алтай на 2013-2018 годы»</t>
  </si>
  <si>
    <t>0111001</t>
  </si>
  <si>
    <t>0111002</t>
  </si>
  <si>
    <t xml:space="preserve">Подготовка и проведение культурной программы в рамках подпрограммы  "Развитие конкурентных рынков" </t>
  </si>
  <si>
    <t>0322001</t>
  </si>
  <si>
    <t>0322002</t>
  </si>
  <si>
    <t>0431001</t>
  </si>
  <si>
    <t>990П011</t>
  </si>
  <si>
    <t>Повышение квалификации работников Администрации МО "Усть-Коксинский район" РА</t>
  </si>
  <si>
    <t>0435134</t>
  </si>
  <si>
    <t>Субвенции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в рамках подпрограммы «Обеспечение  доступным и комфортным жильем населения   МО «Усть-Коксинский  район» Муниципальной программы «Повышение эффективности систем жизнеобеспечения в МО «Усть-Коксинский район» Республики Алтай на 2013-2018 годы»</t>
  </si>
  <si>
    <t>0435135</t>
  </si>
  <si>
    <t>Субвенции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в рамках подпрограммы «Обеспечение  доступным и комфортным жильем населения   МО «Усть-Коксинский  район» Муниципальной программы «Повышение эффективности систем жизнеобеспечения в МО «Усть-Коксинский район» Республики Алтай на 2013-2018 годы»</t>
  </si>
  <si>
    <t>Физическая культура</t>
  </si>
  <si>
    <t>0222001</t>
  </si>
  <si>
    <t>Массовый спорт</t>
  </si>
  <si>
    <t>0222002</t>
  </si>
  <si>
    <t>Спорт высших достижений</t>
  </si>
  <si>
    <t>0242001</t>
  </si>
  <si>
    <t>Производство и выпуск газеты "Уймонские вести" в рамках подпрограммы "Развитие взаимодействия органов местного самоуправления и общества" Муниципальной программы «Социальное развитие МО «Усть-Коксинский район» Республики Алтай на 2013-2018 годы»</t>
  </si>
  <si>
    <t>0242002</t>
  </si>
  <si>
    <t>Производство и выпуск радио "Беловодье" в рамках подпрограммы "Развитие взаимодействия органов местного самоуправления и общества" Муниципальной программы «Социальное развитие МО «Усть-Коксинский район» Республики Алтай на 2013-2018 годы»</t>
  </si>
  <si>
    <t>0211001</t>
  </si>
  <si>
    <t>Обеспечение условий для проведения и развития культурно-досуговых услуг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</t>
  </si>
  <si>
    <t>0211002</t>
  </si>
  <si>
    <t>Повышение заработной платы работникам учреждений культуры 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</t>
  </si>
  <si>
    <t>0211003</t>
  </si>
  <si>
    <t>Организация и проведение культурно-массовых, информационно-просветительских, культурно-досуговых мероприятий для различных категорий населения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</t>
  </si>
  <si>
    <t>0212001</t>
  </si>
  <si>
    <t>Организационное, финансовое и правовое обеспечение сохранения, пополнения музейного фонда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</t>
  </si>
  <si>
    <t>0213001</t>
  </si>
  <si>
    <t>Библиотечное, библиографическое, информационное обслуживание различных категорий пользователей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</t>
  </si>
  <si>
    <t>Повышение заработной платы работникам библиотек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</t>
  </si>
  <si>
    <t>Материально-техническое обеспечение в Отделе Культуры в рамках Муниципальной программы «Социальное развитие МО «Усть-Коксинский район» Республики Алтай на 2013-2018 годы»</t>
  </si>
  <si>
    <t>020Ц057</t>
  </si>
  <si>
    <t>Централизованное обслуживание Отдела Культуры и подведомственных ему учреждений в рамках Муниципальной программы «Социальное развитие МО «Усть-Коксинский район» Республики Алтай на 2013-2018 годы»</t>
  </si>
  <si>
    <t>0233001</t>
  </si>
  <si>
    <t>Обеспечение условий функционирования  дошкольных учреждений 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</si>
  <si>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0233002</t>
  </si>
  <si>
    <t>0231502</t>
  </si>
  <si>
    <t>0422001</t>
  </si>
  <si>
    <t>Проведение комплексных мероприятий в рамках энергосбережения на объектах социальной сферы в рамках подпрограммы «Энергосбережение и повышение энергетической эффективности в коммунальном хозяйстве, жилищной сфере и социальной сфере на территории муниципального образования «Усть-Коксинский район» Муниципальной программы «Повышение эффективности систем жизнеобеспечения в МО «Усть-Коксинский район» Республики Алтай на 2013-2018 годы»</t>
  </si>
  <si>
    <t>Обеспечение выплаты заработной платы и начислений на неё с учётом повышения заработной платы работникам, а также педагогическим работникам в рамках подпрограммы "Развитие физической культуры и спорта" Муниципальной программы «Социальное развитие МО «Усть-Коксинский район» Республики Алтай на 2013-2018 годы»</t>
  </si>
  <si>
    <t>0231002</t>
  </si>
  <si>
    <t>0231003</t>
  </si>
  <si>
    <t xml:space="preserve"> Обеспечение условий для предоставления общеобразовательной услуги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</si>
  <si>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 xml:space="preserve"> Обеспечение выплаты заработной платы  и начислений на заработную плату с учетом повышения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</si>
  <si>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0232002</t>
  </si>
  <si>
    <t>0232004</t>
  </si>
  <si>
    <t>Обеспечение выплаты заработной платы и начислений на нее с учетом повышения заработной платы работникам, а также повышения педагогическим работникам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</si>
  <si>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0232501</t>
  </si>
  <si>
    <t>0235001</t>
  </si>
  <si>
    <t>Обеспечение условий для нормальной жизнедеятельности детей, соблюдение санитарно-гигиеничеких норм и правил, пожарной безопасности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</si>
  <si>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0235002</t>
  </si>
  <si>
    <t>0236509</t>
  </si>
  <si>
    <t>Мероприятия по оздоровлению детей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</si>
  <si>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Материально-техническое обеспечение в Управлении Образования в рамках Муниципальной программы «Социальное развитие МО «Усть-Коксинский район» Республики Алтай на 2013-2018 годы»</t>
  </si>
  <si>
    <t>020Ц074</t>
  </si>
  <si>
    <t>Централизованное обслуживание Управления образования и подведомственных ему учреждений в рамках Муниципальной программы «Социальное развитие МО «Усть-Коксинский район» Республики Алтай на 2013-2018 годы»</t>
  </si>
  <si>
    <t>Материально-техническое обеспечение в Финансовом органе в рамках подпрограммы «Повышение качества управления муниципальным имуществом и земельными участками» Муниципальной программы «Управление муниципальными финансами и имуществом в МО «Усть-Коксинский район» Республики Алтай на 2013-2018 годы»</t>
  </si>
  <si>
    <t>0311001</t>
  </si>
  <si>
    <t>0411001</t>
  </si>
  <si>
    <t>Ремонт и содержание систем водоснабжения в рамках подпрограммы «Развитие внутренней инфраструктуры»
 Муниципальной программы «Повышение эффективности систем жизнеобеспечения в МО «Усть-Коксинский район» Республики Алтай на 2013-2018 годы»</t>
  </si>
  <si>
    <t>0421001</t>
  </si>
  <si>
    <t>Проведение комплексных мероприятий в рамках энергосбережения на объектах социальной сферы в рамках подпрограммы «Энергосбережение и повышение энергетической эффективности в коммунальном хозяйстве, жилищной сфере и социальной сфере на территории муниципаль</t>
  </si>
  <si>
    <t>0421002</t>
  </si>
  <si>
    <t>Внедрение механизма энергосберегающего производства и потребление организаций коммунального комплекса в рамках подпрограммы «Энергосбережение и повышение энергетической эффективности в коммунальном хозяйстве, жилищной сфере и социальной сфере на территории муниципального образования «Усть-Коксинский район» Муниципальной программы «Повышение эффективности систем жизнеобеспечения в МО «Усть-Коксинский район» Республики Алтай на 2013-2018 годы»</t>
  </si>
  <si>
    <t>0311054</t>
  </si>
  <si>
    <t>0312514</t>
  </si>
  <si>
    <t>9909999</t>
  </si>
  <si>
    <t>0121000</t>
  </si>
  <si>
    <t>Внедрение стандарта деятельности органов местного самоуправления поинвестиционной привлекательности в муниципальном образовании в рамках подпрограммы  "Создание условий для развития инвестиционного, инновационного и имиджевого потенциала" муниципальной  программы «Экономическое развитие  муниципального образования «Усть-Коксинский район» Республики Алтай на 2013-2018 годы»</t>
  </si>
  <si>
    <t>0121001</t>
  </si>
  <si>
    <t>Обеспечение сопряжения сайта МО с интернет-порталом РА в рамках подпрограммы  "Создание условий для развития инвестиционного, инновационного и имиджевого потенциала" муниципальной  программы «Экономическое развитие  муниципального образования «Усть-Коксинский район» Республики Алтай на 2013-2018 годы»</t>
  </si>
  <si>
    <t xml:space="preserve">Материально-техническое обеспечение Администрации МО "Усть-Коксинский район" РА </t>
  </si>
  <si>
    <t>0122000</t>
  </si>
  <si>
    <t>Развитие имиджевого потенциала в рамках подпрограммы  "Создание условий для развития инвестиционного, инновационного и имиджевого потенциала" муниципальной  программы «Экономическое развитие  муниципального образования «Усть-Коксинский район» Республики Алтай на 2013-2018 годы»</t>
  </si>
  <si>
    <t>0122001</t>
  </si>
  <si>
    <t>Рекламно-информационные мероприятия направленные на продвижение имеджево потенциала в рамках подпрограммы  "Создание условий для развития инвестиционного, инновационного и имиджевого потенциала" муниципальной  программы «Экономическое развитие  муниципального образования «Усть-Коксинский район» Республики Алтай на 2013-2018 годы»</t>
  </si>
  <si>
    <t>0236000</t>
  </si>
  <si>
    <t>Обеспечение сохранности зданий и сооружений, строительство, реконструкция и капитальный ремонт объектов образования в рамках подпрограммы "Развитие образования в МО "Усть-Коксинский район""  муниципальной программы «Социальное развитие"</t>
  </si>
  <si>
    <t>0236001</t>
  </si>
  <si>
    <t>Осуществление технадзора по объектам капитального строительства и капитального ремонта в рамках подпрограммы "Развитие образования в МО "Усть-Коксинский район""  муниципальной программы «Социальное развитие"</t>
  </si>
  <si>
    <t>0241000</t>
  </si>
  <si>
    <t>Создание  оптимальных условий для обеспечения сохранности документов  Архивного фонда в рамках подпрограммы  "Развитие взаимодействия органов местного самоуправления и общества"  муниципальной программы «Социальное развитие"</t>
  </si>
  <si>
    <t>0242000</t>
  </si>
  <si>
    <t>Укрепление института семьи, повышение статуса семьи в обществе, возрождение и сохранение духовно – нравственных традиций семейных отношений, поднятие престижа разных профессий в рамках подпрограммы  "Развитие взаимодействия органов местного самоуправления и общества"  муниципальной программы «Социальное развитие"</t>
  </si>
  <si>
    <t>0242003</t>
  </si>
  <si>
    <t>0244000</t>
  </si>
  <si>
    <t>Содействие в работе заинтересованных служб по профилактике алкоголизма, наркомании, совершения правонарушений и преступлений в рамках подпрограммы  "Развитие взаимодействия органов местного самоуправления и общества" муниципальной программы «Социальное развитие"</t>
  </si>
  <si>
    <t>0244001</t>
  </si>
  <si>
    <t>0432000</t>
  </si>
  <si>
    <t>Создание условий для защиты населения от негативного воздействия в рамках подпрограммы «Развитие внутренней инфраструктуры» в рамках муниципальной программы «Повышение эффективности систем жизнеобеспечения"</t>
  </si>
  <si>
    <t>0432001</t>
  </si>
  <si>
    <t>Своевременное предуприждение населения о негативных воздействиях в рамках подпрограммы  «Развитие внутренней инфраструктуры» в рамках муниципальной программы «Повышение эффективности систем жизнеобеспечения"</t>
  </si>
  <si>
    <t>0100011</t>
  </si>
  <si>
    <t>Повышение эффективности управления в отделе сельского хозяйства в рамках Муниципальной  программы «Экономическое развитие  муниципального образования «Усть-Коксинский район» Республики Алтай на 2013-2018 годы»</t>
  </si>
  <si>
    <t>Материально-техническое обеспечение в отделе сельского хозяйства  в рамках Муниципальной  программы «Экономическое развитие  муниципального образования «Усть-Коксинский район» Республики Алтай на 2013-2018 годы»</t>
  </si>
  <si>
    <t>0111000</t>
  </si>
  <si>
    <t>Развитие  сельского хозяйства и промышленного производства в рамках подпрограммы  "Развитие конкурентных рынков" Муниципальной  программы «Экономическое развитие  муниципального образования «Усть-Коксинский район» Республики Алтай на 2013-2018 годы»</t>
  </si>
  <si>
    <t>Организация и проведение мероприятий в области сельского хозяйства в рамках подпрограммы  "Развитие конкурентных рынков" муниципальной  программы «Экономическое развитие  муниципального образования «Усть-Коксинский район» Республики Алтай на 2013-2018 годы»</t>
  </si>
  <si>
    <t>0112000</t>
  </si>
  <si>
    <t>0112001</t>
  </si>
  <si>
    <t>0322000</t>
  </si>
  <si>
    <t>0412000</t>
  </si>
  <si>
    <t>Развитие жилищного строительства в рамках подпрограммы "Развитие жилищно-коммунального комплекса»  муниципальной программы «Повышение эффективности систем жизнеобеспечения"</t>
  </si>
  <si>
    <t xml:space="preserve"> Приобретение жилья для переселения граждан из аварийного жилищного фонда в рамках подпрограммы «Обеспечение  доступным и комфортным жильем населения   МО «Усть-Коксинский  район» Муниципальной программы «Повышение эффективности систем жизнеобеспечения в МО «Усть-Коксинский район» Республики Алтай на 2013-2018 годы»</t>
  </si>
  <si>
    <t>0411000</t>
  </si>
  <si>
    <t>Развитие и содержание систем водоснабжения, теплоснабжения в рамках подпрограммы "Развитие жилищно-коммунального комплекса»  муниципальной программы «Повышение эффективности систем жизнеобеспечения"</t>
  </si>
  <si>
    <t>Ремонт и содержание систем водоснабжения в рамках подпрограммы «Развитие внутренней инфраструктуры» Муниципальной программы «Повышение эффективности систем жизнеобеспечения в МО «Усть-Коксинский район» Республики Алтай на 2013-2018 годы»</t>
  </si>
  <si>
    <t>0422000</t>
  </si>
  <si>
    <t>Внедрение механизма энергосберегающего производства и потребление организаций коммунального комплекса в рамках подпрограммы «Энергосбережение  и повышение энергетической эффективности» в рамках муниципальной программы «Повышение эффективности систем жизнеобеспечения"</t>
  </si>
  <si>
    <t>0422002</t>
  </si>
  <si>
    <t>0431000</t>
  </si>
  <si>
    <t>Обустройство территории посредством строительства объектов  инженерной инфраструктуры  ( микрорайон Восточный, Башталинка) в рамках подпрограммы «Развитие внутренней инфраструктуры» в рамках муниципальной программы «Повышение эффективности систем жизнеобеспечения"</t>
  </si>
  <si>
    <t>Строительство  линий электропередач  ( микрорайон Восточный, Башталинка) в рамках подпрограммы «Развитие внутренней инфраструктуры» в рамках муниципальной программы «Повышение эффективности систем жизнеобеспечения"</t>
  </si>
  <si>
    <t>041В501</t>
  </si>
  <si>
    <t>0236002</t>
  </si>
  <si>
    <t>Обеспечение софинансирования расходов на  капитальное строительство в рамках подпрограммы "Развитие образования в МО "Усть-Коксинский район""  муниципальной программы «Социальное развитие"</t>
  </si>
  <si>
    <t>0412002</t>
  </si>
  <si>
    <t>Предоставление социальных выплат на строительство и приобретение жилья в рамках подпрограммы «Обеспечение  доступным и комфортным жильем населения   МО «Усть-Коксинский  район» Муниципальной программы «Повышение эффективности систем жизнеобеспечения в МО «Усть-Коксинский район» Республики Алтай на 2013-2018 годы»</t>
  </si>
  <si>
    <t>0221000</t>
  </si>
  <si>
    <t>Развитие физической культуры и спорта в рамках подпрограммы "Развитие физической культуры и спорта"  муниципальной программы «Социальное развитие"</t>
  </si>
  <si>
    <t>0221001</t>
  </si>
  <si>
    <t>Проведение спортивных, физкультурно-оздоровительных, спортивно-массовых мероприятий  в рамках подпрограммы "Развитие физической культуры и спорта" Муниципальной программы «Социальное развитие МО «Усть-Коксинский район» Республики Алтай на 2013-2018 годы»</t>
  </si>
  <si>
    <t>0245000</t>
  </si>
  <si>
    <t>Развитие и укрепление эффективных механизмов прямой и обратной связи между органами местного самоуправления и общественности в рамках подпрограммы  "Развитие взаимодействия органов местного самоуправления и общества"  муниципальной программы «Социальное развитие"</t>
  </si>
  <si>
    <t>0245001</t>
  </si>
  <si>
    <t>0245002</t>
  </si>
  <si>
    <t>0211000</t>
  </si>
  <si>
    <t>Развитие культурно-досуговой деятельности в рамках подпрограммы  "Развитие культуры" муниципальной  программы «Социальное развитие"</t>
  </si>
  <si>
    <t>0212000</t>
  </si>
  <si>
    <t>Сохранение и развитие культурно-исторического наследия  в рамках подпрограммы  "Развитие культуры" муниципальной  программы «Социальное развитие"</t>
  </si>
  <si>
    <t>0213000</t>
  </si>
  <si>
    <t xml:space="preserve">Комплектование и обеспечение сохранности библиотечных фондов
Повышение уровня и качества предоставления библиотечных услуг в рамках подпрограммы  "Развитие культуры" муниципальной  программы «Социальное развитие"
</t>
  </si>
  <si>
    <t>Пополнение, обеспечение сохранности библиотечного фонда 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</t>
  </si>
  <si>
    <t>0214000</t>
  </si>
  <si>
    <t>Повышение уровня и качества предоставления библиотечных услуг в рамках подпрограммы  "Развитие культуры" муниципальной  программы «Социальное развитие"</t>
  </si>
  <si>
    <t>0214001</t>
  </si>
  <si>
    <t>0214002</t>
  </si>
  <si>
    <t>0421000</t>
  </si>
  <si>
    <t>Проведение комплексных меропрятий в рамках энергосбережениях  в учреждениях бюджетной сферы в рамках подпрограммы «Энергосбережение  и повышение энергетической эффективности» в рамках муниципальной программы «Повышение эффективности систем жизнеобеспечения"</t>
  </si>
  <si>
    <t>Проведение  меропрятий в рамках энергосбережениях  в учреждениях бюджетной сферы в рамках подпрограммы «Энергосбережение  и повышение энергетической эффективности» в рамках муниципальной программы «Повышение эффективности систем жизнеобеспечения"</t>
  </si>
  <si>
    <t>0200057</t>
  </si>
  <si>
    <t>Повышение эффективности управления в Отделе Культуры в рамках Муниципальной программы «Социальное развитие МО «Усть-Коксинский район» Республики Алтай на 2013-2018 годы»</t>
  </si>
  <si>
    <t>0234000</t>
  </si>
  <si>
    <t>"Молодеж Уймонской долины долины" в МО "Усть-Коксинский район" в рамках подпрограммы "Развитие образования в МО "Усть-Коксинский район""  муниципальной программы «Социальное развитие"</t>
  </si>
  <si>
    <t>0234003</t>
  </si>
  <si>
    <t>Патриотическое воспитание в рамках подпрограммы "Развитие образования в МО "Усть-Коксинский район""  муниципальной программы «Социальное развитие"</t>
  </si>
  <si>
    <t>0231000</t>
  </si>
  <si>
    <t>Развитие дошкольного образования муниципального образования "Усть-Коксинский район" в рамках подпрограммы "Развитие образования в МО "Усть-Коксинский район""  муниципальной программы «Социальное развитие"</t>
  </si>
  <si>
    <t>0231001</t>
  </si>
  <si>
    <t>Открытие семейных групп для детей дошкольного возраста в рамках подпрограммы "Развитие образования в МО "Усть-Коксинский район" Муниципальной программы «Социальное развитие"</t>
  </si>
  <si>
    <t>0231506</t>
  </si>
  <si>
    <t>0231508</t>
  </si>
  <si>
    <t>0222000</t>
  </si>
  <si>
    <t>Развитие дополнительного образования физкультурно-спортивного направления в рамках подпрограммы "Развитие физической культуры и спорта"  муниципальной программы «Социальное развитие"</t>
  </si>
  <si>
    <t>Обеспечение условий для предоставления муниципальной образовательной услуги физкультурно-спортивного направления и проведение и участие в спортивно-массовых мероприятиях  в рамках подпрограммы "Развитие физической культуры и спорта" Муниципальной программы «Социальное развитие МО «Усть-Коксинский район» Республики Алтай на 2013-2018 годы»</t>
  </si>
  <si>
    <t>0231507</t>
  </si>
  <si>
    <t>0232000</t>
  </si>
  <si>
    <t>Развитие  общего образования муниципального образования "Усть-Коксинский район" в рамках подпрограммы "Развитие образования в МО "Усть-Коксинский район""  муниципальной программы «Социальное развитие"</t>
  </si>
  <si>
    <t>0232003</t>
  </si>
  <si>
    <t>0233000</t>
  </si>
  <si>
    <t>Развитие творческих способностей детей в системе дополнительного образования в рамках подпрограммы "Развитие образования в МО "Усть-Коксинский район""  муниципальной программы «Социальное развитие"</t>
  </si>
  <si>
    <t>Обеспечение условий для предоставления муниципальной услуги, организация проведения муниципальных  мероприятий 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</si>
  <si>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Обеспечение выплаты заработной платы и начислений на нее с учетом повышения заработной платы работникам, а также повышения педагогическим работникам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</si>
  <si>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0235000</t>
  </si>
  <si>
    <t>Развитие дополнительного образования в сфере организации отдыха и оздоровления детей в рамках подпрограммы "Развитие образования в МО "Усть-Коксинский район""  муниципальной программы «Социальное развитие"</t>
  </si>
  <si>
    <t>Повышение квалификации педагогических и управленческих кадров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</si>
  <si>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 xml:space="preserve"> Совершенствование педагогического мастерства, посредством повышения квалификации педагогического и управленческого персонала образовательных организаций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</si>
  <si>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0234001</t>
  </si>
  <si>
    <t>Проведение и реализация мероприятий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</si>
  <si>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0234002</t>
  </si>
  <si>
    <t>Обеспечение выплаты заработной платы и начислений на нее 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</si>
  <si>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0200074</t>
  </si>
  <si>
    <t>Повышение эффективности управления в Управлении Образования в рамках Муниципальной программы «Социальное развитие МО «Усть-Коксинский район» Республики Алтай на 2013-2018 годы»</t>
  </si>
  <si>
    <t>Материально-техническое обеспечение в Управлении Образования  в рамках Муниципальной программы «Социальное развитие МО «Усть-Коксинский район» Республики Алтай на 2013-2018 годы»</t>
  </si>
  <si>
    <t>0300092</t>
  </si>
  <si>
    <t>Повышение эффективности управления в Финансовом органе в рамках подпрограммы «Повышение качества управления муниципальными финансами муниципального образования «Усть-Коксинский район» Муниципальной программы «Управление муниципальными финансами и имуществом в МО «Усть-Коксинский район» Республики Алтай на 2013-2018 годы»</t>
  </si>
  <si>
    <t>0312000</t>
  </si>
  <si>
    <t xml:space="preserve">Повышение качества финансового менеджмента главных распорядителей средств бюджета МО «Усть-Коксинский район» Республики Алтай в рамках подпрограммы "Повышение качества управления муниципальными финансами" муниципальной программы «Управление муниципальными финансами" </t>
  </si>
  <si>
    <t>0312001</t>
  </si>
  <si>
    <t xml:space="preserve">Осушествление учебного процесса общего образования п по основным общеобразовательным программам в муниципальных общеобразовательных  организациях , переход на новые  федеральные образовательные стандарты общего образования в рамках подпрограммы "Развитие образования" Муниципальной программы «Социальное развитие МО «Усть-Коксинский район» Республики Алтай на 2013-2018 годы»
</t>
  </si>
  <si>
    <t>9905118</t>
  </si>
  <si>
    <t xml:space="preserve">Субвенции на осуществление первичного воинского учета на территориях, где отсутствуют военные комиссариаты </t>
  </si>
  <si>
    <t>0311000</t>
  </si>
  <si>
    <t xml:space="preserve">Обеспечение сбалансированности     и устойчивости бюджета МО «Усть-Коксинский район» Республики Алтай в рамках подпрограммы "Повышение качества управления муниципальными финансами" муниципальной программы «Управление муниципальными финансами" </t>
  </si>
  <si>
    <t>Обеспечение   сбалансированности бюджета МО «Усть-Коксинский район» Республики Алтай   посредством равномерного распределения во времени расходов на погашение муниципального   долга</t>
  </si>
  <si>
    <t xml:space="preserve">Дотация на выравнивание из районного фонда финансовой поддержки поселений в рамках подпрограммы "Повышение качества управления муниципальными финансами" муниципальной программы «Управление муниципальными финансами" </t>
  </si>
  <si>
    <t xml:space="preserve">Дотация на выравнивание из регионального  фонда финансовой поддержки поселений в рамках подпрограммы "Повышение качества управления муниципальными финансами" муниципальной программы «Управление муниципальными финансами" </t>
  </si>
  <si>
    <t>Прочие межбюджетные трансферты общего характера</t>
  </si>
  <si>
    <t>0311055</t>
  </si>
  <si>
    <t xml:space="preserve">Иные межбюджетные в рамках подпрограммы "Повышение качества управления муниципальными финансами" муниципальной программы «Управление муниципальными финансами" </t>
  </si>
  <si>
    <t>540</t>
  </si>
  <si>
    <t>Управление образования и молодежной политики  администрации Муниципального образования "Усть-Коксинский район" Республики Алтай</t>
  </si>
  <si>
    <t>0244501</t>
  </si>
  <si>
    <t>0237000</t>
  </si>
  <si>
    <t>0237001</t>
  </si>
  <si>
    <t>0237002</t>
  </si>
  <si>
    <t>Создание условий для развития  качественного дополнительного образования в сфере культуры и искусства  в рамках подпрограммы "Развитие образования в МО "Усть-Коксинский район""  муниципальной программы «Социальное развитие"</t>
  </si>
  <si>
    <t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образования в МО "Усть-Коксинский район""  муниципальной программы «Социальное развитие"</t>
  </si>
  <si>
    <t>Реализация   образовательных программ сферы культуры и искусств в рамках подпрограммы "Развитие образования в МО "Усть-Коксинский район""  муниципальной программы «Социальное развитие"</t>
  </si>
  <si>
    <t>Повышение эффективности использования земельных участков  в рамках подпрограммы "Повышение качества управления муниципальным имуществом»   муниципальной программы «Управление муниципальными финансами"</t>
  </si>
  <si>
    <t>Проведение кадастровых работ, постановка на кадастровый учет земельных участков в рамках подпрограммы "Повышение качества управления муниципальным имуществом» Муниципальной программы «Управление муниципальными финансами и имуществом в МО «Усть-Коксинский район» Республики Алтай на 2013-2018 годы»</t>
  </si>
  <si>
    <t>Совершенствование системы учета земельных участков в рамках подпрограммы "Повышение качества управления муниципальным имуществом» Муниципальной программы «Управление муниципальными финансами и имуществом в МО «Усть-Коксинский район» Республики Алтай на 2013-2018 годы»</t>
  </si>
  <si>
    <t>990Д111</t>
  </si>
  <si>
    <t>990Д211</t>
  </si>
  <si>
    <t>990Д311</t>
  </si>
  <si>
    <t>990Я011</t>
  </si>
  <si>
    <t>990Ф011</t>
  </si>
  <si>
    <t>99000Э2</t>
  </si>
  <si>
    <t>99000Э1</t>
  </si>
  <si>
    <t>010Я011</t>
  </si>
  <si>
    <t>010Ф011</t>
  </si>
  <si>
    <t>020Я057</t>
  </si>
  <si>
    <t>020Я074</t>
  </si>
  <si>
    <t>020Ф074</t>
  </si>
  <si>
    <t>030Я092</t>
  </si>
  <si>
    <t>030Ф092</t>
  </si>
  <si>
    <t>0311502</t>
  </si>
  <si>
    <t>521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</si>
  <si>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</si>
  <si>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 xml:space="preserve">Субсидии бюджетам на мероприятия по капитальному ремонту гидротехнических сооружений, находящихся в муниципальной собственности и бесхозяйных гидротехнических сооружений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</si>
  <si>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 xml:space="preserve">к Решению "О внесении изменений </t>
  </si>
  <si>
    <t>в Решение "О бюджете муниципального образования</t>
  </si>
  <si>
    <t xml:space="preserve"> "Усть-Коксинский район" Республики Алтай </t>
  </si>
  <si>
    <t xml:space="preserve">к Решению "О бюджете муниципального  </t>
  </si>
  <si>
    <t>Приложение 6</t>
  </si>
  <si>
    <t xml:space="preserve">                                      на 2015 год   и на плановый период 2016-2017 годов"</t>
  </si>
  <si>
    <t>на 2015 год и на плановый период  2016 и 2017 годов"</t>
  </si>
  <si>
    <t>бюджета МО «Усть-Коксинский район» на   2015 год.</t>
  </si>
  <si>
    <t>бюджета МО «Усть-Коксинский район» на  плановый период 2016 и 2017 годов</t>
  </si>
  <si>
    <t>2016г.</t>
  </si>
  <si>
    <t>Сумма измен. 2016г.</t>
  </si>
  <si>
    <t>С учетом измен 2016г.</t>
  </si>
  <si>
    <t>2017г</t>
  </si>
  <si>
    <t>Сумма измен. 2017г.</t>
  </si>
  <si>
    <t>С учетом измен 2017г.</t>
  </si>
  <si>
    <t>10</t>
  </si>
  <si>
    <t>Внедрение стандарта деятельности органов местного самоуправления по инвестиционной привлекательности в МО в рамках подпрограммы  "Создание условий для развития инвестиционного, инновационного и имиджевого потенциала"</t>
  </si>
  <si>
    <t>Обеспечение сопряжения сайта МО с интернет-порталом РА в рамках подпрограммы  "Создание условий для развития инвестиционного, инновационного и имиджевого потенциала" МП "Экономическое развитие  МО "Усть-Коксинский район" РА на 2013-2018 годы"</t>
  </si>
  <si>
    <t>0246000</t>
  </si>
  <si>
    <t>0246001</t>
  </si>
  <si>
    <t>0246002</t>
  </si>
  <si>
    <t>0246004</t>
  </si>
  <si>
    <t xml:space="preserve">Развитие муниципальной службы на территории МО "Усть-Коксинский район" РА в рамках подпрограммы "Развитие взаимодействия органов местного самоуправления и общества"  </t>
  </si>
  <si>
    <t xml:space="preserve">Использование современных информационных технологий в рамках подпрограммы в рамках подпрограммы "Развитие взаимодействия органов местного самоуправления и общества"  </t>
  </si>
  <si>
    <t xml:space="preserve">Приобретение и использование информационных ресурсов в рамках подпрограммы "Развитие взаимодействия органов местного самоуправления и общества"  </t>
  </si>
  <si>
    <t xml:space="preserve">Содействие становления и развития местного самоуправления в рамках подпрограммы "Развитие взаимодействия органов местного самоуправления и общества"   </t>
  </si>
  <si>
    <t>853</t>
  </si>
  <si>
    <t>Уплата иных платежей</t>
  </si>
  <si>
    <t xml:space="preserve">Уплата прочих налогов, сборов  </t>
  </si>
  <si>
    <t>0321000</t>
  </si>
  <si>
    <t xml:space="preserve"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имуществом"  </t>
  </si>
  <si>
    <t>041Г501</t>
  </si>
  <si>
    <t>Осуществление постановки на учет и учет граждан Российской Федерации, имеющих право на получение жилищных субсидий на приобретение ими жилых помещений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</si>
  <si>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0409</t>
  </si>
  <si>
    <t>Дорожное хозяйство (дорожные фонды)</t>
  </si>
  <si>
    <t>04130Д0</t>
  </si>
  <si>
    <t>Развитие транспортной инфраструктуры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</si>
  <si>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0411002</t>
  </si>
  <si>
    <t>Ремонт и содержание систем теплоснабжения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</si>
  <si>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041Г503</t>
  </si>
  <si>
    <t>Возмещение затрат организациям коммунального комплекса, предоставляющим коммунальные услуги по тарифам, не обеспечивающим возмещение издержек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</si>
  <si>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</si>
  <si>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</si>
  <si>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0431002</t>
  </si>
  <si>
    <t>Водоснабжение новых  микрорайонов  района в рамках подпрограммы "Развитие внутренней инфраструктуры" муниципальной программы "Повышение эффективности систем жизнеобеспечения" на  2013-2018 годы"</t>
  </si>
  <si>
    <t>0236003</t>
  </si>
  <si>
    <t>Обеспечение сохранности зданий и сооружений, строительство, реконструкция и капитальный ремонт объектов образования в рамках подпрограммы "Развитие образования в МО "Усть-Коксинский район"  муниципальной программы "Социальное развитие МО "Усть-Коксинский район" Республики Алтай на 2013-2018 годы"</t>
  </si>
  <si>
    <t>Обеспечение софинансирования расходов на  капитальное строительство в рамках подпрограммы "Развитие образования в МО "Усть-Коксинский район"  муниципальной программы "Социальное развитие МО "Усть-Коксинский район" Республики Алтай на 2013-2018 годы"</t>
  </si>
  <si>
    <t>Мероприятия по проведению капитального и текущего ремонта объектов общеобразовательных учреждений в рамках подпрограммы "Развитие образования в МО "Усть-Коксинский район"  муниципальной программы "Социальное развитие МО "Усть-Коксинский район" РА на 2013-2018 годы"</t>
  </si>
  <si>
    <t>243</t>
  </si>
  <si>
    <t>Закупка товаров, работ, услуг в целях капитального ремонта государственного (муниципального) имущества</t>
  </si>
  <si>
    <t>0246005</t>
  </si>
  <si>
    <t xml:space="preserve">Предоставление  гарантий муниципальным служащим в рамках подпрограммы "Развитие взаимодействия органов местного самоуправления и общества"   Муниципальной программы "Социальное развитие МО "Усть-Коксинский район" Республики Алтай на 2013-2018 годы" </t>
  </si>
  <si>
    <t>Пособия, компенсации, меры социальной поддержки по публичным нормативным обязательствам</t>
  </si>
  <si>
    <t>0244510</t>
  </si>
  <si>
    <t>Осуществление уведомительной регистрации территориальных соглашений и коллективных договоров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</si>
  <si>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1201</t>
  </si>
  <si>
    <t>Телевидение и радиовещание</t>
  </si>
  <si>
    <t>0131000</t>
  </si>
  <si>
    <t>0131001</t>
  </si>
  <si>
    <t>0131002</t>
  </si>
  <si>
    <t>Поддержка малого и среднего предпринимательства на территории МО "Усть-Коксинский район" РА в рамках подпрограммы  "Развитие конкурентных рынков"  муниципальной  программы "Экономическое развитие  МО "Усть-Коксинский район" РА на 2013-2018 годы"</t>
  </si>
  <si>
    <t>Создание условий для экономического роста и увеличения занятости населения в реальном секторе экономики в рамках подпрограммы "Развитие малого и среднего предпринимательства" МП "Экономическое развитие  МО "Усть-Коксинский район" РА на 2013-2018 годы"</t>
  </si>
  <si>
    <t>Создание и развитие инфраструктуры поддержки субъектов малого  и среднего предпринимательства в рамках подпрограммы "Развитие малого и среднего предпринимательства" МП "Экономическое развитие  МО "Усть-Коксинский район" РА на 2013-2018 годы"</t>
  </si>
  <si>
    <t>621</t>
  </si>
  <si>
    <t xml:space="preserve">6.2.1 0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(Memo) 
</t>
  </si>
  <si>
    <t>"Молодежь Уймонской  долины" в МО "Усть-Коксинский район" в рамках подпрограммы "Развитие образования в МО "Усть-Коксинский район"  муниципальной программы "Социальное развитие МО "Усть-Коксинский район" РА на 2013-2018 годы"</t>
  </si>
  <si>
    <t>Патриотическое воспитание в рамках подпрограммы "Развитие образования в МО "Усть-Коксинский район"  муниципальной программы "Социальное развитие МО "Усть-Коксинский район" РА на 2013-2018 годы"</t>
  </si>
  <si>
    <t>0215144</t>
  </si>
  <si>
    <t>Комплектование книжных фондов библиотек муниципальных образований в рамках подпрограммы "Развитие культуры  Усть-Коксинского района"  Муниципальной программы "Социальное развитие МО "Усть-Коксинский район" Республики Алтай на 2013-2018 годы"</t>
  </si>
  <si>
    <t>321</t>
  </si>
  <si>
    <t>Пособия и компенсации гражданам и иные социальные выплаты, кроме публичных нормативных обязательств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</si>
  <si>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(Memo) 
</t>
  </si>
  <si>
    <t>Внедрение стандарта деятельности органов местного самоуправления поинвестиционной привлекательности в муниципальном образовании в рамках подпрограммы  "Создание условий для развития инвестиционного, инновационного и имиджевого потенциала" муниципальной  программы "Экономическое развитие  муниципального образования "Усть-Коксинский район" Республики Алтай на 2013-2018 годы"</t>
  </si>
  <si>
    <t>Обеспечение сопряжения сайта МО с интернет-порталом РА в рамках подпрограммы  "Создание условий для развития инвестиционного, инновационного и имиджевого потенциала" муниципальной  программы "Экономическое развитие  муниципального образования "Усть-Коксинский район" Республики Алтай на 2013-2018 годы"</t>
  </si>
  <si>
    <t>Развитие имиджевого потенциала в рамках подпрограммы  "Создание условий для развития инвестиционного, инновационного и имиджевого потенциала" муниципальной  программы "Экономическое развитие  муниципального образования "Усть-Коксинский район" Республики Алтай на 2013-2018 годы"</t>
  </si>
  <si>
    <t>Сохранение и развитие культурно-досуговой деятельности в рамках подпрограммы  "Развитие культуры" муниципальной  программы "Социальное развитие МО "Усть-Коксинский район" Республики Алтай на 2013-2018 годы"</t>
  </si>
  <si>
    <t>Сохранение и развитие культурно-исторического наследия  в рамках подпрограммы  "Развитие культуры" муниципальной  программы "Социальное развитие МО "Усть-Коксинский район" Республики Алтай на 2013-2018 годы"</t>
  </si>
  <si>
    <t>Комплектование и обеспечение сохранности библиотечных фондов Повышение уровня и качества предоставления библиотечных услуг в рамках подпрограммы  "Развитие культуры" муниципальной  программы "Социальное развитие МО "Усть-Коксинский район" Республики Алтай на 2013-2018 годы"</t>
  </si>
  <si>
    <t>Повышение уровня и качества предоставления библиотечных услуг в рамках подпрограммы  "Развитие культуры" муниципальной  программы "Социальное развитие МО "Усть-Коксинский район" Республики Алтай на 2013-2018 годы"</t>
  </si>
  <si>
    <t>Развитие физической культуры и спорта в рамках подпрограммы "Развитие физической культуры и спорта"  муниципальной программы "Социальное развитие МО "Усть-Коксинский район" Республики Алтай на 2013-2018 годы"</t>
  </si>
  <si>
    <t>Развитие дополнительного образования физкультурно-спортивного направления в рамках подпрограммы "Развитие физической культуры и спорта"  муниципальной программы "Социальное развитие МО "Усть-Коксинский район" Республики Алтай на 2013-2018 годы"</t>
  </si>
  <si>
    <t>Развитие  общего образования муниципального образования "Усть-Коксинский район" в рамках подпрограммы "Развитие образования в МО "Усть-Коксинский район"  муниципальной программы "Социальное развитие МО "Усть-Коксинский район" Республики Алтай на 2013-2018 годы"</t>
  </si>
  <si>
    <t>Обеспечение выплаты заработной платы и начислений на нее с учетом повышения заработной платы работникам, а также повышения педагогическим работникам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</si>
  <si>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Обеспечение выплаты заработной платы и начислений на нее 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</si>
  <si>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Создание  оптимальных условий для обеспечения сохранности документов  Архивного фонда в рамках подпрограммы  "Развитие взаимодействия органов местного самоуправления и общества"  муниципальной программы "Социальное развитие МО "Усть-Коксинский район" Республики Алтай на 2013-2018 годы"</t>
  </si>
  <si>
    <t>Укрепление института семьи, повышение статуса семьи в обществе, возрождение и сохранение духовно – нравственных традиций семейных отношений, поднятие престижа разных профессий в рамках подпрограммы  "Развитие взаимодействия органов местного самоуправления и общества"  муниципальной программы "Социальное развитие МО "Усть-Коксинский район" Республики Алтай на 2013-2018 годы"</t>
  </si>
  <si>
    <t>Содействие в работе заинтересованных служб по профилактике алкоголизма, наркомании, совершения правонарушений и преступлений в рамках подпрограммы 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</si>
  <si>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Развитие муниципальной службы на территории МО "Усть-Коксинский район" РА в рамках подпрограммы "Развитие взаимодействия органов местного самоуправления и общества"  муниципальной программы "Социальное развитие МО "Усть-Коксинский район" Республики Алтай на 2013-2018 годы"</t>
  </si>
  <si>
    <t xml:space="preserve">Обеспечение сбалансированности     и устойчивости бюджета МО "Усть-Коксинский район" Республики Алтай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</si>
  <si>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 xml:space="preserve">Дотация на выравнивание из районного фонда финансовой поддержки поселений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</si>
  <si>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 xml:space="preserve">Иные межбюджетные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</si>
  <si>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 xml:space="preserve">Повышение качества финансового менеджмента главных распорядителей средств бюджета МО "Усть-Коксинский район" Республики Алтай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</si>
  <si>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 xml:space="preserve">Дотация на выравнивание из регионального  фонда финансовой поддержки поселений в рамках подпрограммы "Повышение качества управления муниципальными финансами"  муниципальной программы "Управление муниципальными финансами и муниципальным имуществом в МО "Усть-Коксинский район" Республики Алтай" 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</si>
  <si>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имуществом"  муниципальной программы "Управление муниципальными финансами и муниципальным имуществом в МО "Усть-Коксинский район" Республики Алтай"</t>
  </si>
  <si>
    <t>Повышение эффективности использования земельных участков  в рамках подпрограммы "Повышение качества управления муниципальным имуществом"  муниципальной программы "Управление муниципальными финансами и муниципальным имуществом в МО "Усть-Коксинский район" Республики Алтай"</t>
  </si>
  <si>
    <t>Своевременное предуприждение населения о негативных воздействиях в рамках подпрограммы  "Развитие внутренней инфраструктуры" муниципальной программы "Повышение эффективности систем жизнеобеспечения" на  2013-2018 годы"</t>
  </si>
  <si>
    <t>Главный распорядитель бюджетных средств</t>
  </si>
  <si>
    <t>Изменения (+;-)</t>
  </si>
  <si>
    <t xml:space="preserve">Итого с учетом изменений </t>
  </si>
  <si>
    <t>Раздел</t>
  </si>
  <si>
    <t>Подраздел</t>
  </si>
  <si>
    <t>Целевая статья</t>
  </si>
  <si>
    <t>Вид расходов</t>
  </si>
  <si>
    <t>Наименование показателей</t>
  </si>
  <si>
    <t>01</t>
  </si>
  <si>
    <t>02</t>
  </si>
  <si>
    <t>03</t>
  </si>
  <si>
    <t>04</t>
  </si>
  <si>
    <t>06</t>
  </si>
  <si>
    <t>07</t>
  </si>
  <si>
    <t>11</t>
  </si>
  <si>
    <t>13</t>
  </si>
  <si>
    <t>09</t>
  </si>
  <si>
    <t>14</t>
  </si>
  <si>
    <t>05</t>
  </si>
  <si>
    <t>12</t>
  </si>
  <si>
    <t>08</t>
  </si>
  <si>
    <t>99</t>
  </si>
  <si>
    <t>ВСЕГО РАСХОДОВ</t>
  </si>
  <si>
    <t>(рублей)</t>
  </si>
  <si>
    <t>9902506</t>
  </si>
  <si>
    <t>99000Ш2</t>
  </si>
  <si>
    <t>0244502</t>
  </si>
  <si>
    <t>0242004</t>
  </si>
  <si>
    <t>0231005</t>
  </si>
  <si>
    <t>Обеспечение выплаты зароботной платы работникам общеобразовательных учреждений (кроме педагогических работников) в рамках подпрограммы "Развитие образования в МО "Усть-Коксинский район" Муниципальной программы "Социальное развитие МО "Усть-Коксинский район" Республики Алтай на 2013-2018 годы"</t>
  </si>
  <si>
    <t>0232005</t>
  </si>
  <si>
    <t>0238000</t>
  </si>
  <si>
    <t>0238001</t>
  </si>
  <si>
    <t>0312534</t>
  </si>
  <si>
    <t>0415134</t>
  </si>
  <si>
    <t>0415135</t>
  </si>
  <si>
    <t>Субвенции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</si>
  <si>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Субвенции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</si>
  <si>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Организация деятельности органов местного самоуправления по обеспечению благоприятного инвистиционного климата в рамках подпрограммы  "Создание условий для развития инвестиционного, инновационного и имиджевого потенциала" муниципальной  программы "Экономическое развитие  муниципального образования "Усть-Коксинский район" Республики Алтай на 2013-2018 годы"</t>
  </si>
  <si>
    <t>Совершенствование системы информационно-рекламного обеспечения в сфере туризма для приоритетного развития отрасли в рамках подпрограммы  "Создание условий для развития инвестиционного, инновационного и имиджевого потенциала" муниципальной  программы "Экономическое развитие  муниципального образования "Усть-Коксинский район" Республики Алтай на 2013-2018 годы"</t>
  </si>
  <si>
    <t>Обеспечение взаимодействия межведомственных органов в рамках подпрограммы  "Развитие взаимодействия органов местного самоуправления и общества"  муниципальной программы "Социальное развитие МО "Усть-Коксинский район" Республики Алтай на 2013-2018 годы"</t>
  </si>
  <si>
    <t>Профилактика алкоголизма, наркомании и табакокурения 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</si>
  <si>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Развитие и использование информационного и ресурсного обеспечения в рамках подпрограммы  "Развитие взаимодействия органов местного самоуправления и общества"  муниципальной программы "Социальное развитие МО "Усть-Коксинский район" Республики Алтай на 2013-2018 годы"</t>
  </si>
  <si>
    <t>Содействие становления и развития местного самоуправления в рамках подпрограммы  "Развитие взаимодействия органов местного самоуправления и общества"  муниципальной программы "Социальное развитие МО "Усть-Коксинский район" Республики Алтай на 2013-2018 годы"</t>
  </si>
  <si>
    <t>0246003</t>
  </si>
  <si>
    <t>0242005</t>
  </si>
  <si>
    <t>Профилактика терроризма и экстремизма 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</si>
  <si>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Защита населения от негативного воздействия вод и ликвидации ее последствий в рамках подпрограммы "Развитие внутренней инфраструктуры" муниципальной программы "Повышение эффективности систем жизнеобеспечения" на  2013-2018 годы"</t>
  </si>
  <si>
    <t>0432002</t>
  </si>
  <si>
    <t>Предупреждение чрезвычайных ситуаций природного характера, связанных с подтоплением в рамках подпрограммы  "Развитие внутренней инфраструктуры" муниципальной программы "Повышение эффективности систем жизнеобеспечения" на  2013-2018 годы"</t>
  </si>
  <si>
    <t>0141000</t>
  </si>
  <si>
    <t>0141001</t>
  </si>
  <si>
    <t>Развитие  сельского хозяйства и промышленного производства в рамках подпрограммы  "Развитие агропромышленного комплекса" муниципальной  программы "Экономическое развитие  муниципального образования "Усть-Коксинский район" Республики Алтай на 2013-2018 годы"</t>
  </si>
  <si>
    <t xml:space="preserve">Организация и проведение мероприятий в области сельского хозяйства в рамках подпрограммы  "Развитие агропромышленного комплекса" муниципальной  программы "Экономическое развитие  </t>
  </si>
  <si>
    <t>Развитие и модернизация объектов коммунальной инфраструктуры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</si>
  <si>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Развитие и модернизация систем водоснабжения в рамках подпрограммы "Развитие жилищно-коммунального комплекса"
 муниципальной программы "Повышение эффективности систем жизнеобеспечения" на  2013-2018 годы"</t>
  </si>
  <si>
    <t>Создание условий для экономического роста и увеличения занятости населения в реальном секторе экономики в рамках подпрограммы  "Развитие малого и среднего предпринимательства" муниципальной  программы "Экономическое развитие  муниципального образования "Усть-Коксинский район" Республики Алтай на 2013-2018 годы"</t>
  </si>
  <si>
    <t>Создание и развитие инфраструктуры поддержки субъектов малого и среднего предпринимательства в рамках подпрограммы  "Развитие малого и среднего предпринимательства" муниципальной  программы "Экономическое развитие  муниципального образования "Усть-Коксинский район" Республики Алтай на 2013-2018 годы"</t>
  </si>
  <si>
    <t>Энергосбережение и повышение энергетической эффективности в жилищно-коммунальном хозяйстве в рамках подпрограммы "Энергосбережение  и повышение энергетической эффективности"  муниципальной программы "Повышение эффективности систем жизнеобеспечения" на  2013-2018 годы"</t>
  </si>
  <si>
    <t>Обеспечение доступным и комфортным жильем населения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</si>
  <si>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Модернизация систем теплоснабжения в рамках подпрограммы "Развитие жилищно-коммунального комплекса"
 муниципальной программы "Повышение эффективности систем жизнеобеспечения" на  2013-2018 годы"</t>
  </si>
  <si>
    <t>Реализация  мероприятий по энергосбережению в жилищно-коммунальном хозяйстве в рамках энергосбережения на объектах социальной сферы в рамках подпрограммы "Энергосбережение  и повышение энергетической эффективности"   муниципальной программы "Повышение эффективности систем жизнеобеспечения" на  2013-2018 годы"</t>
  </si>
  <si>
    <t>Развитие и модернизация инфраструктуры в рамках подпрограммы "Развитие внутренней инфраструктуры" муниципальной программы "Повышение эффективности систем жизнеобеспечения" на  2013-2018 годы"</t>
  </si>
  <si>
    <t>Создание условий для развития инфраструктуры в соответствии со стандартами качества в рамках подпрограммы "Развитие внутренней инфраструктуры" муниципальной программы "Повышение эффективности систем жизнеобеспечения" на  2013-2018 годы"</t>
  </si>
  <si>
    <t>Обустройство территорий посредством строительства объектов инженерной инфраструктуры в рамках подпрограммы "Развитие внутренней инфраструктуры" муниципальной программы "Повышение эффективности систем жизнеобеспечения" на  2013-2018 годы"</t>
  </si>
  <si>
    <t>0148532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</si>
  <si>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 "Развитие агропромышленного комплекса" муниципальной  программы "Экономическое развитие  муниципального образования "Усть-Коксинский район" Республики Алтай на 2013-2018 годы"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</si>
  <si>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 в рамках подпрограммы  "Развитие агропромышленного комплекса" муниципальной  программы "Экономическое развитие  муниципального образования "Усть-Коксинский район" Республики Алтай на 2013-2018 годы"</t>
  </si>
  <si>
    <t>014А531</t>
  </si>
  <si>
    <t>Создание условий для качественного предоставления услуг в сфере отдыха и оздоровления детей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</si>
  <si>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Предоставление  гарантий муниципальным служащим в рамках подпрограммы  "Развитие взаимодействия органов местного самоуправления и общества"  муниципальной программы "Социальное развитие МО "Усть-Коксинский район" Республики Алтай на 2013-2018 годы"</t>
  </si>
  <si>
    <t>Развитие муниципальной службы на территории МО "Усть-Коксинский район" РА в рамках подпрограммы  "Развитие взаимодействия органов местного самоуправления и общества"  муниципальной программы "Социальное развитие МО "Усть-Коксинский район" Республики Алтай на 2013-2018 годы"</t>
  </si>
  <si>
    <t>Разработка и реализация документов территориального планирования, документации по планировке территории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</si>
  <si>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Популяризация физической культуры и спорта  в рамках подпрограммы "Развитие физической культуры и спорта" муниципальной программы "Социальное развитие МО "Усть-Коксинский район" Республики Алтай на 2013-2018 годы"</t>
  </si>
  <si>
    <t>0221003</t>
  </si>
  <si>
    <t>Увеличение уровня обеспеченности района спортивными сооружениями  в рамках подпрограммы "Развитие физической культуры и спорта" муниципальной программы "Социальное развитие МО "Усть-Коксинский район" Республики Алтай на 2013-2018 годы"</t>
  </si>
  <si>
    <t>0221002</t>
  </si>
  <si>
    <t>Совершенствование системы подготовки спортивного резерва  в рамках подпрограммы "Развитие физической культуры и спорта" муниципальной программы "Социальное развитие МО "Усть-Коксинский район" Республики Алтай на 2013-2018 годы"</t>
  </si>
  <si>
    <t>Развитие  взаимодействия органов местного самоуправления и общества через информирование в средствах массовой информации в рамках подпрограммы  "Развитие взаимодействия органов местного самоуправления и общества"  муниципальной программы "Социальное развитие МО "Усть-Коксинский район" Республики Алтай на 2013-2018 годы"</t>
  </si>
  <si>
    <t>Содействовать воспитанию у молодежи чувства патриотизма и гражданской ответственности 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</si>
  <si>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Создание условий для обеспечения и развития культурно-досуговых услуг в рамках подпрограммы  "Развитие культуры" муниципальной  программы "Социальное развитие МО "Усть-Коксинский район" Республики Алтай на 2013-2018 годы"</t>
  </si>
  <si>
    <t>Энергосбережение  и повышение энергетической эффективности в бюджетных учреждениях в рамках подпрограммы "Энергосбережение  и повышение энергетической эффективности"   муниципальной программы "Повышение эффективности систем жизнеобеспечения" на  2013-2018 годы"</t>
  </si>
  <si>
    <t>Обеспечение энергосбережения в объектах социальной сферы в рамках подпрограммы "Энергосбережение  и повышение энергетической эффективности"  муниципальной программы "Повышение эффективности систем жизнеобеспечения" на  2013-2018 годы"</t>
  </si>
  <si>
    <t>Обеспечение условий функционирования  дошкольных учреждений 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</si>
  <si>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Создание условий для предоставления услуги физкультурно-спортивного направления  в рамках подпрограммы "Развитие физической культуры и спорта" муниципальной программы "Социальное развитие МО "Усть-Коксинский район" Республики Алтай на 2013-2018 годы"</t>
  </si>
  <si>
    <t xml:space="preserve"> Создание условий для предоставления общеобразовательной услуги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</si>
  <si>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Создание условий для предоставления муниципальной услуги, организация проведения муниципальных  мероприятий 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</si>
  <si>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Совершенствование механизмов вовлечения молодежи в социально-активную деятельность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</si>
  <si>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Мероприятия по оздоровлению детей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</si>
  <si>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Централизованное обслуживание Управления образования и подведомственных ему учреждений в рамках муниципальной программы "Социальное развитие МО "Усть-Коксинский район" Республики Алтай на 2013-2018 годы"</t>
  </si>
  <si>
    <t>Организация проведений мероприятий, направленных на укрепление статуса профессий в рамках подпрограммы "Развитие взаимодействия органов местного самоуправления и общества"муниципальной программы "Социальное развитие МО "Усть-Коксинский район" Республики Алтай на 2013-2018 годы"</t>
  </si>
  <si>
    <t>Мероприятия по выплате вознограждений за добровольную сдачу огнестрельного оружия 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</si>
  <si>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Мероприятия по профилактике терроризма и экстремизма 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</si>
  <si>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Повышение эффективности управления в отделе сельского хозяйства в рамках муниципальной  программы "Экономическое развитие  муниципального образования "Усть-Коксинский район" Республики Алтай на 2013-2018 годы"</t>
  </si>
  <si>
    <t>Материально-техническое обеспечение в отделе сельского хозяйства  в рамках муниципальной  программы "Экономическое развитие  муниципального образования "Усть-Коксинский район" Республики Алтай на 2013-2018 годы"</t>
  </si>
  <si>
    <t>Материально-техническое обеспечение в отделе сельского хозяйства в рамках муниципальной  программы "Экономическое развитие  муниципального образования "Усть-Коксинский район" Республики Алтай на 2013-2018 годы"</t>
  </si>
  <si>
    <t>Осуществление уведомительной регистрации территориальных соглашений и коллективных договоров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</si>
  <si>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Производство и выпуск радио "Беловодье" 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</si>
  <si>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Производство и выпуск газеты "Уймонские вести" 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</si>
  <si>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Проведение и реализация мероприятий направленных на укрепление института семьи, повышение статуса семьи в обществе, возрождение и сохранение духовно-нравственных традиций семейных отношений 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</si>
  <si>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Управление образования и молодежной политики  администрации муниципального образования "Усть-Коксинский район" Республики Алтай</t>
  </si>
  <si>
    <t>Обеспечение государственных гарантий прав граждан на получение общедоступного и бесплатного образования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</si>
  <si>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Обеспечение выплаты ежемесячной надбавки к заработной плате педагогическим работникам, отнесенным к категории молодых специалистов 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</si>
  <si>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Обеспечение выплаты заработной платы и начислений на неё с учётом повышения заработной платы работникам, а также педагогическим работникам в рамках подпрограммы "Развитие физической культуры и спорта" муниципальной программы "Социальное развитие МО "Усть-Коксинский район" Республики Алтай на 2013-2018 годы"</t>
  </si>
  <si>
    <t>Обеспечение условий для предоставления общеобразовательной услуги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</si>
  <si>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Повышение эффективности управления в Финансовом органе в рамках подпрограммы "Повышение качества управления муниципальными финансами муниципального образования "Усть-Коксинский район" муниципальной программы "Управление муниципальными финансами и муниципальным имуществом в МО "Усть-Коксинский район" Республики Алтай"</t>
  </si>
  <si>
    <t>0321001</t>
  </si>
  <si>
    <t>Эффективное управление и распоряжение муниципальной собственностью в рамках подпрограммы "Повышение качества управления муниципальным имуществом"  муниципальной программы "Управление муниципальными финансами и муниципальным имуществом в МО "Усть-Коксинский район" Республики Алтай"</t>
  </si>
  <si>
    <t>0322003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</si>
  <si>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 в рамках подпрограммы "Повышение качества управления муниципальным имуществом"  муниципальной программы "Управление муниципальными финансами и муниципальным имуществом в МО "Усть-Коксинский район" Республики Алтай"</t>
  </si>
  <si>
    <t xml:space="preserve">Повышение качества финансового менеджмента главных распорядителей средств бюджета 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</si>
  <si>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 xml:space="preserve">Применение информационно-коммуникационных  технологий  в  сфере   управления   муниципальными финансами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</si>
  <si>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 xml:space="preserve">Обеспечение  проведения  взвешенной  долговой политики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</si>
  <si>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>0121002</t>
  </si>
  <si>
    <t>Обеспечение питанием учащихся из малообеспеченных семей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</si>
  <si>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Внедрение механизма энергосберегающего производства и потребление организаций коммунального комплекса в рамках подпрограммы "Энергосбережение  и повышение энергетической эффективности"  муниципальной программы "Повышение эффективности систем жизнеобеспечения" на  2013-2018 годы"</t>
  </si>
  <si>
    <t>Осуществление технадзора по объектам капитального строительства и капитального ремонта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</si>
  <si>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 xml:space="preserve">Обеспечение полномочий в области архивного дела в рамках подпрограммы "Развитие культуры"  муниципальной программы "Социальное развитие МО «Усть-Коксинский район» Республики Алтай на 2013-2018 годы" </t>
  </si>
  <si>
    <t>Обеспечение сохранности зданий и сооружений, строительство, реконструкция и капитальный ремонт объектов образования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</si>
  <si>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>Выполнение работ по строительству и реконструкции зданий и сооружений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</si>
  <si>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>Проведение капитального ремонта объектов общеобразовательных учреждений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</si>
  <si>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>Развитие дополнительного образования в сфере организации оздоровления и отдыха детей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</si>
  <si>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Сохранение и развитие дополнительного образования 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</si>
  <si>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>Создание условий для сохранения и развития дополнительного образования в сфере культуры и искусства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</si>
  <si>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>Реализация   образовательных программ сферы культуры и искусств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</si>
  <si>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Создание  условий  для успешной социализации и эффективнойсамоорганизации молодежи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</si>
  <si>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>Сохранение и развитие народной традиционной культуры  в рамках подпрограммы "Развитие культуры"  муниципальной программы "Социальное развитие МО "Усть-Коксинский район" Республики Алтай на 2013-2018 годы"</t>
  </si>
  <si>
    <t>Создание условий для обеспечения сохранности объектов культурного наследия в рамках подпрограммы "Развитие культуры"  муниципальной программы "Социальное развитие МО "Усть-Коксинский район" Республики Алтай на 2013-2018 годы"</t>
  </si>
  <si>
    <t>Пополнение, обеспечение сохранности библиотечного фонда  в рамках подпрограммы "Развитие культуры"  муниципальной программы "Социальное развитие МО "Усть-Коксинский район" Республики Алтай на 2013-2018 годы"</t>
  </si>
  <si>
    <t>Создание условий для предоставления библиотечных услуг в рамках подпрограммы "Развитие культуры"  муниципальной программы "Социальное развитие МО "Усть-Коксинский район" Республики Алтай на 2013-2018 годы"</t>
  </si>
  <si>
    <t>Комплектование книжных фондов библиотек муниципальных образований в рамках подпрограммы "Развитие культуры"  муниципальной программы "Социальное развитие МО "Усть-Коксинский район" Республики Алтай на 2013-2018 годы"</t>
  </si>
  <si>
    <t>Молодежь Уймонской долины  в МО "Усть-Коксинский район"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</si>
  <si>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>Патриотическое воспитание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</si>
  <si>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>Развитие дошкольного образования муниципального образования "Усть-Коксинский район"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</si>
  <si>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>Ликвидация очередей на зачисление детей в ДОУ 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</si>
  <si>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Обеспечение выплаты зароботной платы работникам общеобразовательных учреждений (кроме педагогических работников)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</si>
  <si>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Развитие творческих способностей детей в системе дополнительного образования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</si>
  <si>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>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</si>
  <si>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>Обеспечение пожарной безопасности объектов образования в соответствии с установленными требованиями в рамках подпрограммы "Развитие образования"  муниципальной программы "Социальное развитие МО "Усть-Коксинский район" РА на 2013-2018 годы"</t>
  </si>
  <si>
    <t>Развитие  общего образования муниципального образования "Усть-Коксинский район"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</si>
  <si>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>Материально-техническое обеспечение в Финансовом органе 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</t>
  </si>
  <si>
    <t>Материально-техническое обеспечение в Финансовом органе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</t>
  </si>
  <si>
    <t xml:space="preserve">Обеспечение полномочий в области архивного дела в рамках подпрограммы "Развитие культуры"  муниципальной программы "Социальное развитие МО "Усть-Коксинский район" Республики Алтай на 2013-2018 годы" </t>
  </si>
  <si>
    <t>Совершенствование системы учета земельных участков в рамках подпрограммы "Повышение качества управления муниципальным имуществом" муниципальной программы "Управление муниципальными финансами и имуществом в МО «Усть-Коксинский район"</t>
  </si>
  <si>
    <t>0232505</t>
  </si>
  <si>
    <t>Обеспечение выплаты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</si>
  <si>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Повышение эффективности управления в Отделе культуры в рамках муниципальной программы "Социальное развитие МО "Усть-Коксинский район" Республики Алтай на 2013-2018 годы"</t>
  </si>
  <si>
    <t>Централизованное обслуживание Отдела культуры и подведомственных ему учреждений в рамках муниципальной программы "Социальное развитие МО "Усть-Коксинский район" Республики Алтай на 2013-2018 годы"</t>
  </si>
  <si>
    <t>Материально-техническое обеспечение в Отделе культуры в рамках муниципальной программы "Социальное развитие МО "Усть-Коксинский район" Республики Алтай на 2013-2018 годы"</t>
  </si>
  <si>
    <t>Повышение эффективности управления в Управлении образования в рамках муниципальной программы "Социальное развитие МО "Усть-Коксинский район" Республики Алтай на 2013-2018 годы"</t>
  </si>
  <si>
    <t>Материально-техническое обеспечение в Управлении образования  в рамках муниципальной программы "Социальное развитие МО "Усть-Коксинский район" Республики Алтай на 2013-2018 годы"</t>
  </si>
  <si>
    <t>Материально-техническое обеспечение в Управлении образования в рамках муниципальной программы "Социальное развитие МО "Усть-Коксинский район" Республики Алтай на 2013-2018 годы"</t>
  </si>
  <si>
    <t>0237021</t>
  </si>
  <si>
    <t xml:space="preserve">Сохранение и развитие дополнительного образования  в рамках подпрограммы "Развитие образования" </t>
  </si>
  <si>
    <t xml:space="preserve">Создание условий для качественного предоставления услуг в сфере отдыха и оздоровления детей в рамках подпрограммы "Развитие образования" </t>
  </si>
  <si>
    <t>0412004</t>
  </si>
  <si>
    <t xml:space="preserve"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 в рамках подпрограммы "Развитие жилищно-коммунального комплекса"  </t>
  </si>
  <si>
    <t>0237011</t>
  </si>
  <si>
    <t xml:space="preserve">Создание условий для предоставления муниципальной услуги, организация проведения муниципальных мероприятий в рамках подпрограммы "Развитие образования" </t>
  </si>
  <si>
    <t>0311052</t>
  </si>
  <si>
    <t>0311053</t>
  </si>
  <si>
    <t>Иные межбюджетные трансферты на осуществление переданных полномочий по предупреждению и ликвидации последствий чрезвычайных ситуаций в границах поселения</t>
  </si>
  <si>
    <t>Иные межбюджетные трансферты на осуществление переданных полномочий по организации утилизации отходов (буртовке)</t>
  </si>
  <si>
    <t>0311056</t>
  </si>
  <si>
    <t>0311057</t>
  </si>
  <si>
    <t>0311058</t>
  </si>
  <si>
    <t>0311059</t>
  </si>
  <si>
    <t xml:space="preserve">Иные межбюджетные  трансферты на осуществление переданных полномочий по  организации сбора и вывоза бытовых отходов и мусора  в рамках подпрограммы "Повышение качества управления муниципальными финансами" </t>
  </si>
  <si>
    <t xml:space="preserve">Иные межбюджетные  трансферты на осуществление переданных полномочий на содержание мест захоронения  в рамках подпрограммы "Повышение качества управления муниципальными финансами" </t>
  </si>
  <si>
    <t xml:space="preserve">Иные межбюджетные  трансферты на осуществление переданных полномочий по  организации в границах поселения водоснабжения населения в рамках подпрограммы "Повышение качества управления муниципальными финансами" </t>
  </si>
  <si>
    <t>Иные межбюджетные  трансферты на осуществление переданных полномочий по  муниципальному земельному контролю за использованием земель поселения в рамках подпрограммы "Повышение качества управления муниципальными финансами"</t>
  </si>
  <si>
    <t xml:space="preserve">Совершенствование системы учета земельных участков, находящихся в государственной собственности, собственность на которые не разграничена в рамках подпрограммы "Повышение качества управления муниципальным имуществом"  </t>
  </si>
  <si>
    <t xml:space="preserve">Обустройство территорий посредством строительства объектов инженерной инфраструктуры в рамках подпрограммы "Развитие внутренней инфраструктуры" </t>
  </si>
  <si>
    <t xml:space="preserve">Развитие и модернизация инфраструктуры в рамках подпрограммы "Развитие внутренней инфраструктуры" </t>
  </si>
  <si>
    <t xml:space="preserve">к решению "О внесении изменений </t>
  </si>
  <si>
    <t>в решение "О бюджете муниципального образования</t>
  </si>
  <si>
    <t xml:space="preserve">к решению "О бюджете муниципального  </t>
  </si>
  <si>
    <t>Приложение 14</t>
  </si>
  <si>
    <t>бюджета МО «Усть-Коксинский район» на   2015 год</t>
  </si>
  <si>
    <t>0231513</t>
  </si>
  <si>
    <t>0248002</t>
  </si>
  <si>
    <t>0248000</t>
  </si>
  <si>
    <t>0248001</t>
  </si>
  <si>
    <t xml:space="preserve">Развитие  взаимодействия органов местного самоуправления и общества через информирование в средствах массовой информации в рамках подпрограммы  "Развитие взаимодействия органов местного самоуправления и общества"  </t>
  </si>
  <si>
    <t xml:space="preserve">Производство и выпуск газеты "Уймонские вести" в рамках подпрограммы "Развитие взаимодействия органов местного самоуправления и общества" </t>
  </si>
  <si>
    <t xml:space="preserve">Производство и выпуск радио "Беловодье" в рамках подпрограммы "Развитие взаимодействия органов местного самоуправления и общества" </t>
  </si>
  <si>
    <t xml:space="preserve">Обеспечение доступа к сети интернет в образовательных учреждениях  в рамках подпрограммы "Развитие образования" </t>
  </si>
  <si>
    <t>Осуществление постановки на учет и учет граждан Российской Федерации, имеющих право на получение жилищных субсидий на приобретение ими жилых помещений в рамках подпрограммы "Развитие жилищно-коммунального комплекса"  муниципальной программы "Повышение эффективности систем жизнеобеспечения" на 2013-2018 годы"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</si>
  <si>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</si>
  <si>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</si>
  <si>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9901504</t>
  </si>
  <si>
    <t>Выплата вознаграждений за добровольную сдачу огнестрельного оружия 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</si>
  <si>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Предупреждение чрезвычайных ситуаций природного характера, связанных с подтоплением в рамках подпрограммы  "Развитие внутренней инфраструктуры" муниципальной программы "Повышение эффективности систем жизнеобеспечения" на 2013-2018 годы"</t>
  </si>
  <si>
    <t>Защита населения от негативного воздействия вод и ликвидации ее последствий в рамках подпрограммы "Развитие внутренней инфраструктуры" муниципальной программы "Повышение эффективности систем жизнеобеспечения" на 2013-2018 годы"</t>
  </si>
  <si>
    <t>0247502</t>
  </si>
  <si>
    <t>041Б512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</si>
  <si>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в рамках подпрограммы "Развитие жилищно-коммунального комплекса"  муниципальной программы "Повышение эффективности систем жизнеобеспечения" на 2013-2018 годы"</t>
  </si>
  <si>
    <t>04315П1</t>
  </si>
  <si>
    <t xml:space="preserve"> Софинансирование капитальных вложений в объекты муниципальной собственности в рамках подпрограммы "Развитие внутренней инфраструктуры" муниципальной программы "Повышение эффективности систем жизнеобеспечения" на 2013-2018 годы"</t>
  </si>
  <si>
    <t>Обеспечение энергосбережения в объектах социальной сферы в рамках подпрограммы "Энергосбережение и повышение энергетической эффективности" муниципальной программы "Повышение эффективности систем жизнеобеспечения" на 2013-2018 годы"</t>
  </si>
  <si>
    <t>Энергосбережение и повышение энергетической эффективности в бюджетных учреждениях в рамках подпрограммы "Энергосбережение и повышение энергетической эффективности"  муниципальной программы "Повышение эффективности систем жизнеобеспечения" на 2013-2018 годы"</t>
  </si>
  <si>
    <t>042Б522</t>
  </si>
  <si>
    <t>0231598</t>
  </si>
  <si>
    <t>Повышение оплаты труда педагогическим работникам в моу дополнительного образования детей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</si>
  <si>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Обеспечение энергосбережения и повышения энергетической эффективности в социальной сфере в рамках подпрограммы "Энергосбережение и повышение энергетической эффективности" муниципальной программы "Повышение эффективности систем жизнеобеспечения" на 2013-2018 годы"</t>
  </si>
  <si>
    <t>Проведение капитального ремонта объектов общеобразовательных учреждений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</si>
  <si>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Создание  условий  для успешной социализации и эффективнойсамоорганизации молодежи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</si>
  <si>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0211580</t>
  </si>
  <si>
    <t>0216000</t>
  </si>
  <si>
    <t>0216001</t>
  </si>
  <si>
    <t>Проведение мероприятий в рамках проведения в Республике Алтай 70-й годовщины Победы в Великой Отечественной войне 1941-1945 годов в рамках подпрограммы "Развитие культуры" муниципальной программы "Социальное развитие МО "Усть-Коксинский район" Республики Алтай на 2013-2018 годы"</t>
  </si>
  <si>
    <t>Обеспечение сохранности  зданий  и сооружений, строительство (реконструкция) зданий учреждений культуры  в рамках подпрограммы  "Развитие культуры" муниципальной  программы "Социальное развитие МО "Усть-Коксинский район" Республики Алтай на 2013-2018 годы"</t>
  </si>
  <si>
    <t>Выполнение работ по капитальному ремонту  зданий и сооружений учреждений культуры    для  дальнейшей эксплуатации в рамках подпрограммы "Развитие культуры" муниципальной программы "Социальное развитие МО "Усть-Коксинский район" Республики Алтай на 2013-2018 годы"</t>
  </si>
  <si>
    <t>0411571</t>
  </si>
  <si>
    <t>322</t>
  </si>
  <si>
    <t>Обеспечение жильем граждан Российской Федерации, проживающих в сельской местности, в рамках подпрограммы "Развитие жилищно-коммунального комплекса"  муниципальной программы "Повышение эффективности систем жизнеобеспечения" на 2013-2018 годы"</t>
  </si>
  <si>
    <t>0211599</t>
  </si>
  <si>
    <t>Повышение заработной платы работникам учреждений культуры в рамках подпрограммы "Развитие культуры" муниципальной программы "Социальное развитие МО "Усть-Коксинский район" Республики Алтай на 2013-2018 годы"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</si>
  <si>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
</t>
  </si>
  <si>
    <t>0201599</t>
  </si>
  <si>
    <t>Повышение заработной платы работникам учреждений культуры в рамках муниципальной программы "Социальное развитие МО "Усть-Коксинский район" Республики Алтай на 2013-2018 годы"</t>
  </si>
  <si>
    <t>0221598</t>
  </si>
  <si>
    <t>Повышение оплаты труда педагогическим работникам в моу дополнительного образования детей в рамках подпрограммы "Развитие физической культуры и спорта" муниципальной программы "Социальное развитие МО "Усть-Коксинский район" Республики Алтай на 2013-2018 годы"</t>
  </si>
  <si>
    <t>Обеспечение сохранности зданий и сооружений, строительство, реконструкция и капитальный ремонт объектов образования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</si>
  <si>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</si>
  <si>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Обеспечение пожарной безопасности объектов образования в соответствии с установленными требованиями в рамках подпрограммы "Развитие образования" муниципальной программы "Социальное развитие МО "Усть-Коксинский район" РА на 2013-2018 годы"</t>
  </si>
  <si>
    <t>522</t>
  </si>
  <si>
    <t xml:space="preserve">Межбюджетные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</si>
  <si>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>Субсидии на софинансирование капитальных вложений в объекты государственной (муниципальной) собственности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</si>
  <si>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</si>
  <si>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Субсидии на проведение мероприятий в рамках проведения в Республике Алтай 70-й годовщины Победы в Великой Отечественной войне 1941-1945 годов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</t>
  </si>
  <si>
    <t>Мероприятия по проведению ремонта, реконструкции и обустройства территорий памятников, увековечивающих память о Великой Отечественной войне 1941-1945 годов, за счет средств добровольных пожертвований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</t>
  </si>
  <si>
    <t>Субсидии на повышение заработной платы работникам учреждений культуры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</t>
  </si>
  <si>
    <t>0311554</t>
  </si>
  <si>
    <t>Субсидии на предоставление грантов на поддержку местных инициатив граждан , проживающих в сельской местности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</t>
  </si>
  <si>
    <t>0432003</t>
  </si>
  <si>
    <t xml:space="preserve">Снижение социальной напряженности населения в рамках подпрограммы  "Развитие внутренней инфраструктуры" </t>
  </si>
  <si>
    <t>0215147</t>
  </si>
  <si>
    <t>Выплата денежного поощрения лучшим муниципальным учреждениям культуры в рамках подпрограммы "Развитие культуры"</t>
  </si>
  <si>
    <t>0432052</t>
  </si>
  <si>
    <t xml:space="preserve">Защита населения от негативного воздействия вод и ликвидации ее последствий в рамках подпрограммы "Развитие внутренней инфраструктуры" </t>
  </si>
  <si>
    <t>Иные межбюджетные трансферты на осуществление переданных полномочий по предупреждению и ликвидации последствий чрезвычайных ситуаций в границах поселения в рамках подпрограммы "Развитие внутренней инфраструктуры"</t>
  </si>
  <si>
    <t>0322059</t>
  </si>
  <si>
    <t>Иные межбюджетные трансферты на осуществление переданных полномочий по муниципальному земельному контролю за использованием земель поселения в рамках подпрограммы "Повышение качества управления муниципальным имуществом"</t>
  </si>
  <si>
    <t xml:space="preserve">Повышение эффективности использования земельных участков  в рамках подпрограммы "Повышение качества управления муниципальным имуществом"  </t>
  </si>
  <si>
    <t>0411058</t>
  </si>
  <si>
    <t xml:space="preserve">Развитие и модернизация объектов коммунальной инфраструктуры в рамках подпрограммы "Развитие жилищно-коммунального комплекса"  </t>
  </si>
  <si>
    <t>Иные межбюджетные трансферты на осуществление переданных полномочий по организации в границах поселения водоснабжения населения в рамках подпрограммы "Развитие жилищно-коммунального комплекса"</t>
  </si>
  <si>
    <t>0411053</t>
  </si>
  <si>
    <t>0411056</t>
  </si>
  <si>
    <t>0411057</t>
  </si>
  <si>
    <t>Иные межбюджетные трансферты на осуществление переданных полномочий по организации утилизации отходов (буртовке) в рамках подпрограммы "Развитие жилищно-коммунального комплекса"</t>
  </si>
  <si>
    <t>Иные межбюджетные трансферты на осуществление переданных полномочий по организации сбора и вывоза бытовых отходов и мусора в рамках подпрограммы "Развитие жилищно-коммунального комплекса"</t>
  </si>
  <si>
    <t>Иные межбюджетные трансферты на осуществление переданных полномочий на содержание мест захоронения в рамках подпрограммы "Развитие жилищно-коммунального комплекса"</t>
  </si>
  <si>
    <t>0415403</t>
  </si>
  <si>
    <t>0211590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</si>
</sst>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7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4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Arial Cyr"/>
      <family val="2"/>
      <charset val="204"/>
    </font>
    <font>
      <b/>
      <sz val="9"/>
      <color indexed="8"/>
      <name val="Tahoma"/>
      <family val="2"/>
      <charset val="204"/>
    </font>
    <font>
      <sz val="9"/>
      <name val="Arial Cyr"/>
      <charset val="204"/>
    </font>
    <font>
      <sz val="10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/>
    <xf numFmtId="2" fontId="0" fillId="0" borderId="0" xfId="0" applyNumberFormat="1" applyFill="1"/>
    <xf numFmtId="0" fontId="0" fillId="0" borderId="0" xfId="0" applyFill="1" applyBorder="1"/>
    <xf numFmtId="49" fontId="2" fillId="0" borderId="1" xfId="0" applyNumberFormat="1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horizontal="center" vertical="center"/>
    </xf>
    <xf numFmtId="43" fontId="8" fillId="6" borderId="1" xfId="1" applyFont="1" applyFill="1" applyBorder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4" fontId="3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4" fontId="11" fillId="0" borderId="0" xfId="1" applyNumberFormat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horizontal="center" vertical="center"/>
    </xf>
    <xf numFmtId="4" fontId="11" fillId="4" borderId="1" xfId="1" applyNumberFormat="1" applyFont="1" applyFill="1" applyBorder="1" applyAlignment="1">
      <alignment horizontal="center" vertical="center"/>
    </xf>
    <xf numFmtId="4" fontId="8" fillId="4" borderId="1" xfId="1" applyNumberFormat="1" applyFont="1" applyFill="1" applyBorder="1" applyAlignment="1">
      <alignment horizontal="center" vertical="center"/>
    </xf>
    <xf numFmtId="43" fontId="11" fillId="4" borderId="0" xfId="1" applyFont="1" applyFill="1" applyAlignment="1">
      <alignment horizontal="center" vertical="center"/>
    </xf>
    <xf numFmtId="43" fontId="11" fillId="4" borderId="0" xfId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wrapText="1"/>
    </xf>
    <xf numFmtId="0" fontId="14" fillId="0" borderId="8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vertical="center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4" fontId="11" fillId="7" borderId="1" xfId="1" applyNumberFormat="1" applyFont="1" applyFill="1" applyBorder="1" applyAlignment="1">
      <alignment horizontal="center" vertical="center"/>
    </xf>
    <xf numFmtId="4" fontId="2" fillId="7" borderId="1" xfId="1" applyNumberFormat="1" applyFont="1" applyFill="1" applyBorder="1" applyAlignment="1">
      <alignment horizontal="center" vertical="center" wrapText="1"/>
    </xf>
    <xf numFmtId="4" fontId="8" fillId="7" borderId="1" xfId="1" applyNumberFormat="1" applyFont="1" applyFill="1" applyBorder="1" applyAlignment="1">
      <alignment horizontal="center" vertical="center"/>
    </xf>
    <xf numFmtId="4" fontId="3" fillId="7" borderId="1" xfId="1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left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left" vertical="center" wrapText="1"/>
    </xf>
    <xf numFmtId="49" fontId="0" fillId="7" borderId="0" xfId="0" applyNumberFormat="1" applyFill="1"/>
    <xf numFmtId="49" fontId="2" fillId="7" borderId="1" xfId="1" applyNumberFormat="1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49" fontId="16" fillId="7" borderId="1" xfId="0" applyNumberFormat="1" applyFont="1" applyFill="1" applyBorder="1" applyAlignment="1">
      <alignment horizontal="left" vertical="center" wrapText="1"/>
    </xf>
    <xf numFmtId="0" fontId="0" fillId="7" borderId="0" xfId="0" applyFill="1"/>
    <xf numFmtId="4" fontId="0" fillId="7" borderId="0" xfId="0" applyNumberFormat="1" applyFill="1"/>
    <xf numFmtId="0" fontId="0" fillId="7" borderId="0" xfId="0" applyFill="1" applyAlignment="1"/>
    <xf numFmtId="49" fontId="7" fillId="7" borderId="0" xfId="0" applyNumberFormat="1" applyFont="1" applyFill="1" applyBorder="1" applyAlignment="1">
      <alignment horizontal="center" vertical="top" wrapText="1"/>
    </xf>
    <xf numFmtId="0" fontId="0" fillId="7" borderId="0" xfId="0" applyFill="1" applyBorder="1"/>
    <xf numFmtId="2" fontId="0" fillId="7" borderId="0" xfId="0" applyNumberFormat="1" applyFill="1"/>
    <xf numFmtId="4" fontId="15" fillId="7" borderId="1" xfId="0" applyNumberFormat="1" applyFont="1" applyFill="1" applyBorder="1" applyAlignment="1">
      <alignment horizontal="center"/>
    </xf>
    <xf numFmtId="4" fontId="17" fillId="7" borderId="0" xfId="0" applyNumberFormat="1" applyFont="1" applyFill="1"/>
    <xf numFmtId="2" fontId="0" fillId="7" borderId="0" xfId="0" applyNumberFormat="1" applyFill="1" applyBorder="1"/>
    <xf numFmtId="4" fontId="3" fillId="7" borderId="0" xfId="1" applyNumberFormat="1" applyFont="1" applyFill="1" applyBorder="1" applyAlignment="1">
      <alignment horizontal="center" vertical="center" wrapText="1"/>
    </xf>
    <xf numFmtId="4" fontId="2" fillId="7" borderId="0" xfId="1" applyNumberFormat="1" applyFont="1" applyFill="1" applyBorder="1" applyAlignment="1">
      <alignment horizontal="center" vertical="center" wrapText="1"/>
    </xf>
    <xf numFmtId="4" fontId="11" fillId="7" borderId="0" xfId="1" applyNumberFormat="1" applyFont="1" applyFill="1" applyBorder="1" applyAlignment="1">
      <alignment horizontal="center" vertical="center"/>
    </xf>
    <xf numFmtId="4" fontId="8" fillId="7" borderId="0" xfId="1" applyNumberFormat="1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0" fontId="12" fillId="7" borderId="0" xfId="0" applyFont="1" applyFill="1" applyBorder="1" applyAlignment="1">
      <alignment horizontal="right" wrapText="1"/>
    </xf>
    <xf numFmtId="0" fontId="12" fillId="7" borderId="0" xfId="0" applyFont="1" applyFill="1" applyAlignment="1">
      <alignment horizontal="right"/>
    </xf>
    <xf numFmtId="4" fontId="12" fillId="7" borderId="0" xfId="0" applyNumberFormat="1" applyFont="1" applyFill="1" applyAlignment="1">
      <alignment horizontal="right"/>
    </xf>
    <xf numFmtId="4" fontId="0" fillId="8" borderId="0" xfId="0" applyNumberFormat="1" applyFill="1"/>
    <xf numFmtId="4" fontId="3" fillId="8" borderId="1" xfId="1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4" fontId="2" fillId="8" borderId="1" xfId="1" applyNumberFormat="1" applyFont="1" applyFill="1" applyBorder="1" applyAlignment="1">
      <alignment horizontal="center" vertical="center" wrapText="1"/>
    </xf>
    <xf numFmtId="4" fontId="11" fillId="8" borderId="1" xfId="1" applyNumberFormat="1" applyFont="1" applyFill="1" applyBorder="1" applyAlignment="1">
      <alignment horizontal="center" vertical="center"/>
    </xf>
    <xf numFmtId="4" fontId="8" fillId="8" borderId="1" xfId="1" applyNumberFormat="1" applyFont="1" applyFill="1" applyBorder="1" applyAlignment="1">
      <alignment horizontal="center" vertical="center"/>
    </xf>
    <xf numFmtId="4" fontId="15" fillId="8" borderId="1" xfId="0" applyNumberFormat="1" applyFont="1" applyFill="1" applyBorder="1" applyAlignment="1">
      <alignment horizontal="center"/>
    </xf>
    <xf numFmtId="4" fontId="17" fillId="8" borderId="0" xfId="0" applyNumberFormat="1" applyFont="1" applyFill="1"/>
    <xf numFmtId="0" fontId="0" fillId="8" borderId="0" xfId="0" applyFill="1"/>
    <xf numFmtId="0" fontId="12" fillId="8" borderId="0" xfId="0" applyFont="1" applyFill="1" applyAlignment="1">
      <alignment horizontal="right"/>
    </xf>
    <xf numFmtId="0" fontId="0" fillId="8" borderId="0" xfId="0" applyFill="1" applyBorder="1"/>
    <xf numFmtId="0" fontId="2" fillId="7" borderId="1" xfId="0" applyNumberFormat="1" applyFont="1" applyFill="1" applyBorder="1" applyAlignment="1">
      <alignment horizontal="left" vertical="top" wrapText="1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left" vertical="center" wrapText="1"/>
    </xf>
    <xf numFmtId="49" fontId="18" fillId="7" borderId="0" xfId="0" applyNumberFormat="1" applyFont="1" applyFill="1" applyBorder="1" applyAlignment="1">
      <alignment horizontal="right" vertical="top" wrapText="1"/>
    </xf>
    <xf numFmtId="49" fontId="7" fillId="7" borderId="0" xfId="0" applyNumberFormat="1" applyFont="1" applyFill="1" applyBorder="1" applyAlignment="1">
      <alignment horizontal="center" vertical="top" wrapText="1"/>
    </xf>
    <xf numFmtId="3" fontId="2" fillId="7" borderId="1" xfId="1" applyNumberFormat="1" applyFont="1" applyFill="1" applyBorder="1" applyAlignment="1">
      <alignment horizontal="center" vertical="center" wrapText="1"/>
    </xf>
    <xf numFmtId="4" fontId="0" fillId="7" borderId="0" xfId="0" applyNumberFormat="1" applyFill="1" applyAlignment="1">
      <alignment wrapText="1"/>
    </xf>
    <xf numFmtId="49" fontId="3" fillId="7" borderId="3" xfId="0" applyNumberFormat="1" applyFont="1" applyFill="1" applyBorder="1" applyAlignment="1">
      <alignment horizontal="left" vertical="center" wrapText="1"/>
    </xf>
    <xf numFmtId="49" fontId="3" fillId="7" borderId="4" xfId="0" applyNumberFormat="1" applyFont="1" applyFill="1" applyBorder="1" applyAlignment="1">
      <alignment horizontal="left" vertical="center" wrapText="1"/>
    </xf>
    <xf numFmtId="49" fontId="3" fillId="7" borderId="8" xfId="0" applyNumberFormat="1" applyFont="1" applyFill="1" applyBorder="1" applyAlignment="1">
      <alignment horizontal="left" vertical="center" wrapText="1"/>
    </xf>
    <xf numFmtId="0" fontId="12" fillId="7" borderId="0" xfId="0" applyFont="1" applyFill="1" applyAlignment="1">
      <alignment horizontal="right"/>
    </xf>
    <xf numFmtId="0" fontId="7" fillId="7" borderId="0" xfId="0" applyFont="1" applyFill="1" applyBorder="1" applyAlignment="1">
      <alignment horizontal="center" vertical="center" wrapText="1"/>
    </xf>
    <xf numFmtId="49" fontId="7" fillId="7" borderId="9" xfId="0" applyNumberFormat="1" applyFont="1" applyFill="1" applyBorder="1" applyAlignment="1">
      <alignment horizontal="center" vertical="top" wrapText="1"/>
    </xf>
    <xf numFmtId="0" fontId="12" fillId="7" borderId="0" xfId="0" applyFont="1" applyFill="1" applyBorder="1" applyAlignment="1">
      <alignment horizontal="right" wrapText="1"/>
    </xf>
    <xf numFmtId="0" fontId="19" fillId="7" borderId="0" xfId="0" applyFont="1" applyFill="1" applyBorder="1" applyAlignment="1">
      <alignment horizontal="center" vertical="center" wrapText="1"/>
    </xf>
    <xf numFmtId="49" fontId="19" fillId="7" borderId="0" xfId="0" applyNumberFormat="1" applyFont="1" applyFill="1" applyBorder="1" applyAlignment="1">
      <alignment horizontal="center" vertical="top" wrapText="1"/>
    </xf>
    <xf numFmtId="0" fontId="0" fillId="7" borderId="0" xfId="0" applyFill="1" applyAlignment="1">
      <alignment horizontal="right"/>
    </xf>
    <xf numFmtId="0" fontId="2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49" fontId="6" fillId="2" borderId="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wrapText="1"/>
    </xf>
    <xf numFmtId="0" fontId="5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15"/>
  <sheetViews>
    <sheetView view="pageBreakPreview" topLeftCell="A7" zoomScaleNormal="100" zoomScaleSheetLayoutView="100" workbookViewId="0">
      <selection activeCell="E27" sqref="E27"/>
    </sheetView>
  </sheetViews>
  <sheetFormatPr defaultRowHeight="12.75" x14ac:dyDescent="0.2"/>
  <cols>
    <col min="1" max="1" width="5.42578125" style="79" customWidth="1"/>
    <col min="2" max="2" width="6.140625" style="79" customWidth="1"/>
    <col min="3" max="3" width="7.42578125" style="79" customWidth="1"/>
    <col min="4" max="4" width="6.42578125" style="79" customWidth="1"/>
    <col min="5" max="5" width="33.28515625" style="79" customWidth="1"/>
    <col min="6" max="6" width="13.5703125" style="80" hidden="1" customWidth="1"/>
    <col min="7" max="7" width="14.7109375" style="80" hidden="1" customWidth="1"/>
    <col min="8" max="8" width="14.42578125" style="96" customWidth="1"/>
    <col min="9" max="9" width="1.7109375" style="79" customWidth="1"/>
    <col min="10" max="10" width="6.7109375" style="79" customWidth="1"/>
    <col min="11" max="11" width="7.7109375" style="79" customWidth="1"/>
    <col min="12" max="12" width="7.42578125" style="79" customWidth="1"/>
    <col min="13" max="13" width="7.85546875" style="79" customWidth="1"/>
    <col min="14" max="14" width="25.140625" style="79" customWidth="1"/>
    <col min="15" max="15" width="13.5703125" style="79" hidden="1" customWidth="1"/>
    <col min="16" max="16" width="13.42578125" style="79" hidden="1" customWidth="1"/>
    <col min="17" max="17" width="13.42578125" style="104" customWidth="1"/>
    <col min="18" max="18" width="14.5703125" style="104" customWidth="1"/>
    <col min="19" max="19" width="12.140625" style="79" hidden="1" customWidth="1"/>
    <col min="20" max="20" width="14" style="79" hidden="1" customWidth="1"/>
    <col min="21" max="21" width="10.140625" style="79" bestFit="1" customWidth="1"/>
    <col min="22" max="16384" width="9.140625" style="79"/>
  </cols>
  <sheetData>
    <row r="1" spans="1:20" ht="15" hidden="1" x14ac:dyDescent="0.25">
      <c r="E1" s="117" t="s">
        <v>930</v>
      </c>
      <c r="F1" s="117"/>
      <c r="G1" s="117"/>
      <c r="H1" s="117"/>
    </row>
    <row r="2" spans="1:20" ht="15" hidden="1" x14ac:dyDescent="0.25">
      <c r="E2" s="117" t="s">
        <v>926</v>
      </c>
      <c r="F2" s="117"/>
      <c r="G2" s="117"/>
      <c r="H2" s="117"/>
    </row>
    <row r="3" spans="1:20" ht="15" hidden="1" x14ac:dyDescent="0.25">
      <c r="E3" s="117" t="s">
        <v>927</v>
      </c>
      <c r="F3" s="117"/>
      <c r="G3" s="117"/>
      <c r="H3" s="117"/>
    </row>
    <row r="4" spans="1:20" ht="15" hidden="1" x14ac:dyDescent="0.25">
      <c r="E4" s="117" t="s">
        <v>928</v>
      </c>
      <c r="F4" s="117"/>
      <c r="G4" s="117"/>
      <c r="H4" s="117"/>
    </row>
    <row r="5" spans="1:20" ht="15" hidden="1" x14ac:dyDescent="0.25">
      <c r="E5" s="120" t="s">
        <v>931</v>
      </c>
      <c r="F5" s="120"/>
      <c r="G5" s="120"/>
      <c r="H5" s="120"/>
    </row>
    <row r="6" spans="1:20" hidden="1" x14ac:dyDescent="0.2">
      <c r="O6" s="80"/>
      <c r="P6" s="80"/>
      <c r="Q6" s="96"/>
      <c r="R6" s="96"/>
      <c r="S6" s="80"/>
      <c r="T6" s="80"/>
    </row>
    <row r="7" spans="1:20" ht="15" x14ac:dyDescent="0.25">
      <c r="A7" s="81"/>
      <c r="B7" s="81"/>
      <c r="C7" s="81"/>
      <c r="D7" s="81"/>
      <c r="E7" s="117" t="s">
        <v>373</v>
      </c>
      <c r="F7" s="117"/>
      <c r="G7" s="117"/>
      <c r="H7" s="117"/>
      <c r="I7" s="94"/>
      <c r="J7" s="81"/>
      <c r="K7" s="81"/>
      <c r="L7" s="81"/>
      <c r="M7" s="81"/>
      <c r="N7" s="117" t="s">
        <v>373</v>
      </c>
      <c r="O7" s="117"/>
      <c r="P7" s="117"/>
      <c r="Q7" s="117"/>
      <c r="R7" s="117"/>
      <c r="S7" s="117"/>
      <c r="T7" s="117"/>
    </row>
    <row r="8" spans="1:20" ht="15" x14ac:dyDescent="0.25">
      <c r="A8" s="81"/>
      <c r="B8" s="81"/>
      <c r="C8" s="81"/>
      <c r="D8" s="81"/>
      <c r="E8" s="117" t="s">
        <v>929</v>
      </c>
      <c r="F8" s="117"/>
      <c r="G8" s="117"/>
      <c r="H8" s="117"/>
      <c r="I8" s="94"/>
      <c r="J8" s="81"/>
      <c r="K8" s="81"/>
      <c r="L8" s="81"/>
      <c r="M8" s="81"/>
      <c r="N8" s="117" t="s">
        <v>929</v>
      </c>
      <c r="O8" s="117"/>
      <c r="P8" s="117"/>
      <c r="Q8" s="117"/>
      <c r="R8" s="117"/>
      <c r="S8" s="117"/>
      <c r="T8" s="117"/>
    </row>
    <row r="9" spans="1:20" ht="15" x14ac:dyDescent="0.25">
      <c r="A9" s="81"/>
      <c r="B9" s="81"/>
      <c r="C9" s="81"/>
      <c r="D9" s="81"/>
      <c r="E9" s="117" t="s">
        <v>416</v>
      </c>
      <c r="F9" s="117"/>
      <c r="G9" s="117"/>
      <c r="H9" s="117"/>
      <c r="I9" s="94"/>
      <c r="J9" s="81"/>
      <c r="K9" s="81"/>
      <c r="L9" s="81"/>
      <c r="M9" s="81"/>
      <c r="N9" s="117" t="s">
        <v>416</v>
      </c>
      <c r="O9" s="117"/>
      <c r="P9" s="117"/>
      <c r="Q9" s="117"/>
      <c r="R9" s="117"/>
      <c r="S9" s="117"/>
      <c r="T9" s="117"/>
    </row>
    <row r="10" spans="1:20" ht="15" customHeight="1" x14ac:dyDescent="0.25">
      <c r="A10" s="81"/>
      <c r="B10" s="81"/>
      <c r="C10" s="81"/>
      <c r="D10" s="81"/>
      <c r="E10" s="120" t="s">
        <v>932</v>
      </c>
      <c r="F10" s="120"/>
      <c r="G10" s="120"/>
      <c r="H10" s="120"/>
      <c r="I10" s="93"/>
      <c r="J10" s="81"/>
      <c r="K10" s="81"/>
      <c r="L10" s="81"/>
      <c r="M10" s="81"/>
      <c r="N10" s="120" t="s">
        <v>932</v>
      </c>
      <c r="O10" s="120"/>
      <c r="P10" s="120"/>
      <c r="Q10" s="120"/>
      <c r="R10" s="120"/>
      <c r="S10" s="120"/>
      <c r="T10" s="120"/>
    </row>
    <row r="11" spans="1:20" ht="15" x14ac:dyDescent="0.25">
      <c r="E11" s="117"/>
      <c r="F11" s="117"/>
      <c r="G11" s="117"/>
      <c r="H11" s="117"/>
      <c r="N11" s="117"/>
      <c r="O11" s="117"/>
      <c r="P11" s="117"/>
      <c r="Q11" s="117"/>
      <c r="R11" s="105"/>
      <c r="S11" s="94"/>
      <c r="T11" s="95"/>
    </row>
    <row r="12" spans="1:20" ht="18" x14ac:dyDescent="0.2">
      <c r="A12" s="118" t="s">
        <v>676</v>
      </c>
      <c r="B12" s="118"/>
      <c r="C12" s="118"/>
      <c r="D12" s="118"/>
      <c r="E12" s="118"/>
      <c r="F12" s="118"/>
      <c r="G12" s="118"/>
      <c r="H12" s="118"/>
      <c r="J12" s="118" t="s">
        <v>676</v>
      </c>
      <c r="K12" s="118"/>
      <c r="L12" s="118"/>
      <c r="M12" s="118"/>
      <c r="N12" s="118"/>
      <c r="O12" s="118"/>
      <c r="P12" s="118"/>
      <c r="Q12" s="118"/>
      <c r="R12" s="118"/>
      <c r="S12" s="118"/>
      <c r="T12" s="118"/>
    </row>
    <row r="13" spans="1:20" ht="17.25" customHeight="1" x14ac:dyDescent="0.2">
      <c r="A13" s="119" t="s">
        <v>933</v>
      </c>
      <c r="B13" s="119"/>
      <c r="C13" s="119"/>
      <c r="D13" s="119"/>
      <c r="E13" s="119"/>
      <c r="F13" s="119"/>
      <c r="G13" s="119"/>
      <c r="H13" s="119"/>
      <c r="I13" s="82"/>
      <c r="J13" s="119" t="s">
        <v>934</v>
      </c>
      <c r="K13" s="119"/>
      <c r="L13" s="119"/>
      <c r="M13" s="119"/>
      <c r="N13" s="119"/>
      <c r="O13" s="119"/>
      <c r="P13" s="119"/>
      <c r="Q13" s="119"/>
      <c r="R13" s="119"/>
      <c r="S13" s="119"/>
      <c r="T13" s="119"/>
    </row>
    <row r="14" spans="1:20" ht="21" x14ac:dyDescent="0.2">
      <c r="A14" s="70" t="s">
        <v>447</v>
      </c>
      <c r="B14" s="70" t="s">
        <v>448</v>
      </c>
      <c r="C14" s="70" t="s">
        <v>449</v>
      </c>
      <c r="D14" s="70" t="s">
        <v>450</v>
      </c>
      <c r="E14" s="70" t="s">
        <v>451</v>
      </c>
      <c r="F14" s="68" t="s">
        <v>677</v>
      </c>
      <c r="G14" s="68" t="s">
        <v>672</v>
      </c>
      <c r="H14" s="97" t="s">
        <v>673</v>
      </c>
      <c r="J14" s="70" t="s">
        <v>447</v>
      </c>
      <c r="K14" s="70" t="s">
        <v>448</v>
      </c>
      <c r="L14" s="70" t="s">
        <v>449</v>
      </c>
      <c r="M14" s="70" t="s">
        <v>450</v>
      </c>
      <c r="N14" s="70" t="s">
        <v>451</v>
      </c>
      <c r="O14" s="68" t="s">
        <v>935</v>
      </c>
      <c r="P14" s="68" t="s">
        <v>936</v>
      </c>
      <c r="Q14" s="97" t="s">
        <v>937</v>
      </c>
      <c r="R14" s="97" t="s">
        <v>938</v>
      </c>
      <c r="S14" s="68" t="s">
        <v>939</v>
      </c>
      <c r="T14" s="68" t="s">
        <v>940</v>
      </c>
    </row>
    <row r="15" spans="1:20" x14ac:dyDescent="0.2">
      <c r="A15" s="71" t="s">
        <v>452</v>
      </c>
      <c r="B15" s="71" t="s">
        <v>453</v>
      </c>
      <c r="C15" s="71" t="s">
        <v>454</v>
      </c>
      <c r="D15" s="71" t="s">
        <v>455</v>
      </c>
      <c r="E15" s="71" t="s">
        <v>456</v>
      </c>
      <c r="F15" s="72"/>
      <c r="G15" s="71">
        <v>6</v>
      </c>
      <c r="H15" s="98">
        <v>7</v>
      </c>
      <c r="J15" s="71" t="s">
        <v>452</v>
      </c>
      <c r="K15" s="71" t="s">
        <v>453</v>
      </c>
      <c r="L15" s="71" t="s">
        <v>454</v>
      </c>
      <c r="M15" s="71" t="s">
        <v>455</v>
      </c>
      <c r="N15" s="71" t="s">
        <v>456</v>
      </c>
      <c r="O15" s="72"/>
      <c r="P15" s="71">
        <v>6</v>
      </c>
      <c r="Q15" s="98">
        <v>7</v>
      </c>
      <c r="R15" s="98"/>
      <c r="S15" s="71" t="s">
        <v>412</v>
      </c>
      <c r="T15" s="71" t="s">
        <v>941</v>
      </c>
    </row>
    <row r="16" spans="1:20" ht="42" x14ac:dyDescent="0.2">
      <c r="A16" s="70" t="s">
        <v>458</v>
      </c>
      <c r="B16" s="73"/>
      <c r="C16" s="70"/>
      <c r="D16" s="70"/>
      <c r="E16" s="69" t="s">
        <v>459</v>
      </c>
      <c r="F16" s="68" t="e">
        <f>F17+F20+F31+F51+F59+F62+F116+F119+F122+F132+F151+F164+F168+F194+F203+F207+F210+F219+F222+F226+F230+F238</f>
        <v>#REF!</v>
      </c>
      <c r="G16" s="68" t="e">
        <f>G17+G20+G31+G51+G59+G62+G116+G119+G122+G132+G151+G164+G168+G194+G203+G207+G210+G219+G222+G226+G230+G238</f>
        <v>#REF!</v>
      </c>
      <c r="H16" s="97">
        <f>H17+H20+H31+H51+H59+H62+H116+H119+H122+H132+H151+H164+H168+H194+H203+H207+H210+H219+H222+H226+H230+H238+H56+H148+H188+H234</f>
        <v>54663900</v>
      </c>
      <c r="J16" s="70" t="s">
        <v>458</v>
      </c>
      <c r="K16" s="73"/>
      <c r="L16" s="70"/>
      <c r="M16" s="70"/>
      <c r="N16" s="69" t="s">
        <v>459</v>
      </c>
      <c r="O16" s="68" t="e">
        <f>O17+O20+O31+O51+O59+O62+O116+O119+O122+O132+O151+O164+O168+O194+O203+#REF!+O207+O210+O219+O222+O226+O230+O238</f>
        <v>#REF!</v>
      </c>
      <c r="P16" s="68" t="e">
        <f>P17+P20+P31+P51+P59+P62+P116+P119+P122+P132+P151+P164+P168+P194+P203+#REF!+P207+P210+P219+P222+P226+P230+P238</f>
        <v>#REF!</v>
      </c>
      <c r="Q16" s="97">
        <f>Q17+Q20+Q31+Q51+Q59+Q62+Q116+Q119+Q122+Q132+Q151+Q164+Q168+Q194+Q203+Q207+Q210+Q219+Q222+Q226+Q230+Q238+Q56+Q148+Q188+Q234</f>
        <v>48725520</v>
      </c>
      <c r="R16" s="97">
        <f>R17+R20+R31+R51+R59+R62+R116+R119+R122+R132+R151+R164+R168+R194+R203+R207+R210+R219+R222+R226+R230+R238+R56+R148+R188+R234</f>
        <v>44285310</v>
      </c>
      <c r="S16" s="68" t="e">
        <f>S17+S20+S31+S51+S59+S62+S116+S119+S122+S132+S151+S164+S168+S194+S203+#REF!+S207+S210+S219+S222+S226+S230+S238</f>
        <v>#REF!</v>
      </c>
      <c r="T16" s="68" t="e">
        <f>T17+T20+T31+T51+T59+T62+T116+T119+T122+T132+T151+T164+T168+T194+T203+#REF!+T207+T210+T219+T222+T226+T230+T238</f>
        <v>#REF!</v>
      </c>
    </row>
    <row r="17" spans="1:20" ht="42" x14ac:dyDescent="0.2">
      <c r="A17" s="63" t="s">
        <v>458</v>
      </c>
      <c r="B17" s="63" t="s">
        <v>460</v>
      </c>
      <c r="C17" s="63"/>
      <c r="D17" s="63"/>
      <c r="E17" s="74" t="s">
        <v>461</v>
      </c>
      <c r="F17" s="66">
        <f>F18</f>
        <v>1349649</v>
      </c>
      <c r="G17" s="66">
        <f>H17-F17</f>
        <v>11</v>
      </c>
      <c r="H17" s="99">
        <f>H18</f>
        <v>1349660</v>
      </c>
      <c r="J17" s="63" t="s">
        <v>458</v>
      </c>
      <c r="K17" s="63" t="s">
        <v>460</v>
      </c>
      <c r="L17" s="63"/>
      <c r="M17" s="63"/>
      <c r="N17" s="74" t="s">
        <v>461</v>
      </c>
      <c r="O17" s="66" t="e">
        <f>#REF!+O18</f>
        <v>#REF!</v>
      </c>
      <c r="P17" s="66" t="e">
        <f>Q17-O17</f>
        <v>#REF!</v>
      </c>
      <c r="Q17" s="99">
        <f>Q18</f>
        <v>1349660</v>
      </c>
      <c r="R17" s="99">
        <f>R18</f>
        <v>1349660</v>
      </c>
      <c r="S17" s="66" t="e">
        <f>T17-R17</f>
        <v>#REF!</v>
      </c>
      <c r="T17" s="66" t="e">
        <f>#REF!+T18</f>
        <v>#REF!</v>
      </c>
    </row>
    <row r="18" spans="1:20" ht="31.5" x14ac:dyDescent="0.2">
      <c r="A18" s="63" t="s">
        <v>458</v>
      </c>
      <c r="B18" s="63" t="s">
        <v>460</v>
      </c>
      <c r="C18" s="63" t="s">
        <v>678</v>
      </c>
      <c r="D18" s="63"/>
      <c r="E18" s="74" t="s">
        <v>679</v>
      </c>
      <c r="F18" s="66">
        <f>F19</f>
        <v>1349649</v>
      </c>
      <c r="G18" s="66">
        <f t="shared" ref="G18:G62" si="0">H18-F18</f>
        <v>11</v>
      </c>
      <c r="H18" s="99">
        <f>H19</f>
        <v>1349660</v>
      </c>
      <c r="J18" s="63" t="s">
        <v>458</v>
      </c>
      <c r="K18" s="63" t="s">
        <v>460</v>
      </c>
      <c r="L18" s="63" t="s">
        <v>678</v>
      </c>
      <c r="M18" s="63"/>
      <c r="N18" s="74" t="s">
        <v>679</v>
      </c>
      <c r="O18" s="66">
        <f>O19</f>
        <v>1349649</v>
      </c>
      <c r="P18" s="66">
        <f t="shared" ref="P18:P62" si="1">Q18-O18</f>
        <v>11</v>
      </c>
      <c r="Q18" s="99">
        <f>Q19</f>
        <v>1349660</v>
      </c>
      <c r="R18" s="99">
        <f>R19</f>
        <v>1349660</v>
      </c>
      <c r="S18" s="66">
        <f t="shared" ref="S18:S62" si="2">T18-R18</f>
        <v>-1349660</v>
      </c>
      <c r="T18" s="66">
        <f>T19</f>
        <v>0</v>
      </c>
    </row>
    <row r="19" spans="1:20" ht="21" x14ac:dyDescent="0.2">
      <c r="A19" s="63" t="s">
        <v>458</v>
      </c>
      <c r="B19" s="63" t="s">
        <v>460</v>
      </c>
      <c r="C19" s="63" t="s">
        <v>678</v>
      </c>
      <c r="D19" s="63">
        <v>121</v>
      </c>
      <c r="E19" s="74" t="s">
        <v>422</v>
      </c>
      <c r="F19" s="66">
        <f>1036597+313052</f>
        <v>1349649</v>
      </c>
      <c r="G19" s="66">
        <f t="shared" si="0"/>
        <v>11</v>
      </c>
      <c r="H19" s="99">
        <f>1036600+313060</f>
        <v>1349660</v>
      </c>
      <c r="J19" s="63" t="s">
        <v>458</v>
      </c>
      <c r="K19" s="63" t="s">
        <v>460</v>
      </c>
      <c r="L19" s="63" t="s">
        <v>678</v>
      </c>
      <c r="M19" s="63">
        <v>121</v>
      </c>
      <c r="N19" s="74" t="s">
        <v>422</v>
      </c>
      <c r="O19" s="66">
        <f>1036597+313052</f>
        <v>1349649</v>
      </c>
      <c r="P19" s="66">
        <f t="shared" si="1"/>
        <v>11</v>
      </c>
      <c r="Q19" s="99">
        <f>1036600+313060</f>
        <v>1349660</v>
      </c>
      <c r="R19" s="99">
        <f>1036600+313060</f>
        <v>1349660</v>
      </c>
      <c r="S19" s="66">
        <f t="shared" si="2"/>
        <v>-1349660</v>
      </c>
      <c r="T19" s="66"/>
    </row>
    <row r="20" spans="1:20" ht="63" x14ac:dyDescent="0.2">
      <c r="A20" s="63" t="s">
        <v>458</v>
      </c>
      <c r="B20" s="63" t="s">
        <v>466</v>
      </c>
      <c r="C20" s="63"/>
      <c r="D20" s="63"/>
      <c r="E20" s="74" t="s">
        <v>467</v>
      </c>
      <c r="F20" s="66">
        <f>F26+F21+F23</f>
        <v>1649184</v>
      </c>
      <c r="G20" s="66">
        <f t="shared" si="0"/>
        <v>197396</v>
      </c>
      <c r="H20" s="99">
        <f>H26+H21+H23</f>
        <v>1846580</v>
      </c>
      <c r="J20" s="63" t="s">
        <v>458</v>
      </c>
      <c r="K20" s="63" t="s">
        <v>466</v>
      </c>
      <c r="L20" s="63"/>
      <c r="M20" s="63"/>
      <c r="N20" s="74" t="s">
        <v>467</v>
      </c>
      <c r="O20" s="66" t="e">
        <f>#REF!+O26+#REF!+O21+O23</f>
        <v>#REF!</v>
      </c>
      <c r="P20" s="66" t="e">
        <f t="shared" si="1"/>
        <v>#REF!</v>
      </c>
      <c r="Q20" s="99">
        <f>Q26+Q21+Q23</f>
        <v>1880080</v>
      </c>
      <c r="R20" s="99">
        <f>R26+R21+R23</f>
        <v>1803080</v>
      </c>
      <c r="S20" s="66" t="e">
        <f t="shared" si="2"/>
        <v>#REF!</v>
      </c>
      <c r="T20" s="66" t="e">
        <f>#REF!+T26+#REF!+T21+T23</f>
        <v>#REF!</v>
      </c>
    </row>
    <row r="21" spans="1:20" ht="31.5" x14ac:dyDescent="0.2">
      <c r="A21" s="63" t="s">
        <v>458</v>
      </c>
      <c r="B21" s="63" t="s">
        <v>466</v>
      </c>
      <c r="C21" s="63" t="s">
        <v>908</v>
      </c>
      <c r="D21" s="63"/>
      <c r="E21" s="74" t="s">
        <v>469</v>
      </c>
      <c r="F21" s="66">
        <f>F22</f>
        <v>1349649</v>
      </c>
      <c r="G21" s="66">
        <f t="shared" si="0"/>
        <v>11</v>
      </c>
      <c r="H21" s="99">
        <f>H22</f>
        <v>1349660</v>
      </c>
      <c r="J21" s="63" t="s">
        <v>458</v>
      </c>
      <c r="K21" s="63" t="s">
        <v>466</v>
      </c>
      <c r="L21" s="63" t="s">
        <v>908</v>
      </c>
      <c r="M21" s="63"/>
      <c r="N21" s="74" t="s">
        <v>469</v>
      </c>
      <c r="O21" s="66">
        <f>O22</f>
        <v>1349649</v>
      </c>
      <c r="P21" s="66">
        <f t="shared" si="1"/>
        <v>11</v>
      </c>
      <c r="Q21" s="99">
        <f>Q22</f>
        <v>1349660</v>
      </c>
      <c r="R21" s="99">
        <f>R22</f>
        <v>1349660</v>
      </c>
      <c r="S21" s="66">
        <f t="shared" si="2"/>
        <v>-1349660</v>
      </c>
      <c r="T21" s="66">
        <f>T22</f>
        <v>0</v>
      </c>
    </row>
    <row r="22" spans="1:20" ht="21" x14ac:dyDescent="0.2">
      <c r="A22" s="63" t="s">
        <v>458</v>
      </c>
      <c r="B22" s="63" t="s">
        <v>466</v>
      </c>
      <c r="C22" s="63" t="s">
        <v>908</v>
      </c>
      <c r="D22" s="63">
        <v>121</v>
      </c>
      <c r="E22" s="74" t="s">
        <v>422</v>
      </c>
      <c r="F22" s="66">
        <f>1036597+313052</f>
        <v>1349649</v>
      </c>
      <c r="G22" s="66">
        <f t="shared" si="0"/>
        <v>11</v>
      </c>
      <c r="H22" s="99">
        <f>1036600+313060</f>
        <v>1349660</v>
      </c>
      <c r="J22" s="63" t="s">
        <v>458</v>
      </c>
      <c r="K22" s="63" t="s">
        <v>466</v>
      </c>
      <c r="L22" s="63" t="s">
        <v>908</v>
      </c>
      <c r="M22" s="63">
        <v>121</v>
      </c>
      <c r="N22" s="74" t="s">
        <v>422</v>
      </c>
      <c r="O22" s="66">
        <f>1036597+313052</f>
        <v>1349649</v>
      </c>
      <c r="P22" s="66">
        <f t="shared" si="1"/>
        <v>11</v>
      </c>
      <c r="Q22" s="99">
        <f>1036600+313060</f>
        <v>1349660</v>
      </c>
      <c r="R22" s="99">
        <f>1036600+313060</f>
        <v>1349660</v>
      </c>
      <c r="S22" s="66">
        <f t="shared" si="2"/>
        <v>-1349660</v>
      </c>
      <c r="T22" s="66"/>
    </row>
    <row r="23" spans="1:20" ht="31.5" x14ac:dyDescent="0.2">
      <c r="A23" s="63" t="s">
        <v>458</v>
      </c>
      <c r="B23" s="63" t="s">
        <v>466</v>
      </c>
      <c r="C23" s="63" t="s">
        <v>909</v>
      </c>
      <c r="D23" s="63"/>
      <c r="E23" s="74" t="s">
        <v>471</v>
      </c>
      <c r="F23" s="66">
        <f>F24+F25</f>
        <v>0</v>
      </c>
      <c r="G23" s="66">
        <f t="shared" si="0"/>
        <v>114000</v>
      </c>
      <c r="H23" s="99">
        <f>H24+H25</f>
        <v>114000</v>
      </c>
      <c r="J23" s="63" t="s">
        <v>458</v>
      </c>
      <c r="K23" s="63" t="s">
        <v>466</v>
      </c>
      <c r="L23" s="63" t="s">
        <v>909</v>
      </c>
      <c r="M23" s="63"/>
      <c r="N23" s="74" t="s">
        <v>471</v>
      </c>
      <c r="O23" s="66">
        <f>O24+O25</f>
        <v>0</v>
      </c>
      <c r="P23" s="66">
        <f t="shared" si="1"/>
        <v>114000</v>
      </c>
      <c r="Q23" s="99">
        <f>Q24+Q25</f>
        <v>114000</v>
      </c>
      <c r="R23" s="99">
        <f>R24+R25</f>
        <v>114000</v>
      </c>
      <c r="S23" s="66">
        <f t="shared" si="2"/>
        <v>-114000</v>
      </c>
      <c r="T23" s="66">
        <f>T24+T25</f>
        <v>0</v>
      </c>
    </row>
    <row r="24" spans="1:20" ht="31.5" x14ac:dyDescent="0.2">
      <c r="A24" s="63" t="s">
        <v>458</v>
      </c>
      <c r="B24" s="63" t="s">
        <v>466</v>
      </c>
      <c r="C24" s="63" t="s">
        <v>909</v>
      </c>
      <c r="D24" s="63">
        <v>122</v>
      </c>
      <c r="E24" s="74" t="s">
        <v>432</v>
      </c>
      <c r="F24" s="65">
        <v>0</v>
      </c>
      <c r="G24" s="66">
        <f t="shared" si="0"/>
        <v>6000</v>
      </c>
      <c r="H24" s="100">
        <v>6000</v>
      </c>
      <c r="J24" s="63" t="s">
        <v>458</v>
      </c>
      <c r="K24" s="63" t="s">
        <v>466</v>
      </c>
      <c r="L24" s="63" t="s">
        <v>909</v>
      </c>
      <c r="M24" s="63">
        <v>122</v>
      </c>
      <c r="N24" s="74" t="s">
        <v>432</v>
      </c>
      <c r="O24" s="65">
        <v>0</v>
      </c>
      <c r="P24" s="66">
        <f t="shared" si="1"/>
        <v>6000</v>
      </c>
      <c r="Q24" s="100">
        <v>6000</v>
      </c>
      <c r="R24" s="100">
        <v>6000</v>
      </c>
      <c r="S24" s="66">
        <f t="shared" si="2"/>
        <v>-6000</v>
      </c>
      <c r="T24" s="65">
        <v>0</v>
      </c>
    </row>
    <row r="25" spans="1:20" ht="31.5" x14ac:dyDescent="0.2">
      <c r="A25" s="63" t="s">
        <v>458</v>
      </c>
      <c r="B25" s="63" t="s">
        <v>466</v>
      </c>
      <c r="C25" s="63" t="s">
        <v>909</v>
      </c>
      <c r="D25" s="63">
        <v>123</v>
      </c>
      <c r="E25" s="74" t="s">
        <v>680</v>
      </c>
      <c r="F25" s="65">
        <v>0</v>
      </c>
      <c r="G25" s="66">
        <f t="shared" si="0"/>
        <v>108000</v>
      </c>
      <c r="H25" s="100">
        <v>108000</v>
      </c>
      <c r="J25" s="63" t="s">
        <v>458</v>
      </c>
      <c r="K25" s="63" t="s">
        <v>466</v>
      </c>
      <c r="L25" s="63" t="s">
        <v>909</v>
      </c>
      <c r="M25" s="63">
        <v>123</v>
      </c>
      <c r="N25" s="74" t="s">
        <v>680</v>
      </c>
      <c r="O25" s="65">
        <v>0</v>
      </c>
      <c r="P25" s="66">
        <f t="shared" si="1"/>
        <v>108000</v>
      </c>
      <c r="Q25" s="100">
        <v>108000</v>
      </c>
      <c r="R25" s="100">
        <v>108000</v>
      </c>
      <c r="S25" s="66">
        <f t="shared" si="2"/>
        <v>-108000</v>
      </c>
      <c r="T25" s="65">
        <v>0</v>
      </c>
    </row>
    <row r="26" spans="1:20" ht="31.5" x14ac:dyDescent="0.2">
      <c r="A26" s="63" t="s">
        <v>458</v>
      </c>
      <c r="B26" s="63" t="s">
        <v>466</v>
      </c>
      <c r="C26" s="63" t="s">
        <v>910</v>
      </c>
      <c r="D26" s="63"/>
      <c r="E26" s="74" t="s">
        <v>681</v>
      </c>
      <c r="F26" s="65">
        <f>F27+F28+F29+F30</f>
        <v>299535</v>
      </c>
      <c r="G26" s="66">
        <f t="shared" si="0"/>
        <v>83385</v>
      </c>
      <c r="H26" s="100">
        <f>H27+H28+H29+H30</f>
        <v>382920</v>
      </c>
      <c r="J26" s="63" t="s">
        <v>458</v>
      </c>
      <c r="K26" s="63" t="s">
        <v>466</v>
      </c>
      <c r="L26" s="63" t="s">
        <v>910</v>
      </c>
      <c r="M26" s="63"/>
      <c r="N26" s="74" t="s">
        <v>681</v>
      </c>
      <c r="O26" s="65">
        <f t="shared" ref="O26:T26" si="3">O27+O28+O29+O30</f>
        <v>299535</v>
      </c>
      <c r="P26" s="66">
        <f t="shared" si="1"/>
        <v>116885</v>
      </c>
      <c r="Q26" s="100">
        <f t="shared" si="3"/>
        <v>416420</v>
      </c>
      <c r="R26" s="100">
        <f t="shared" si="3"/>
        <v>339420</v>
      </c>
      <c r="S26" s="66">
        <f t="shared" si="2"/>
        <v>-339420</v>
      </c>
      <c r="T26" s="65">
        <f t="shared" si="3"/>
        <v>0</v>
      </c>
    </row>
    <row r="27" spans="1:20" ht="31.5" x14ac:dyDescent="0.2">
      <c r="A27" s="63" t="s">
        <v>458</v>
      </c>
      <c r="B27" s="63" t="s">
        <v>466</v>
      </c>
      <c r="C27" s="63" t="s">
        <v>910</v>
      </c>
      <c r="D27" s="63">
        <v>121</v>
      </c>
      <c r="E27" s="74" t="s">
        <v>432</v>
      </c>
      <c r="F27" s="65">
        <f>230055+69480</f>
        <v>299535</v>
      </c>
      <c r="G27" s="66">
        <f t="shared" si="0"/>
        <v>39885</v>
      </c>
      <c r="H27" s="100">
        <f>260700+78720</f>
        <v>339420</v>
      </c>
      <c r="J27" s="63" t="s">
        <v>458</v>
      </c>
      <c r="K27" s="63" t="s">
        <v>466</v>
      </c>
      <c r="L27" s="63" t="s">
        <v>910</v>
      </c>
      <c r="M27" s="63">
        <v>121</v>
      </c>
      <c r="N27" s="74" t="s">
        <v>432</v>
      </c>
      <c r="O27" s="65">
        <f>230055+69480</f>
        <v>299535</v>
      </c>
      <c r="P27" s="66">
        <f t="shared" si="1"/>
        <v>39885</v>
      </c>
      <c r="Q27" s="100">
        <f>260700+78720</f>
        <v>339420</v>
      </c>
      <c r="R27" s="100">
        <f>260700+78720</f>
        <v>339420</v>
      </c>
      <c r="S27" s="66">
        <f t="shared" si="2"/>
        <v>-339420</v>
      </c>
      <c r="T27" s="65"/>
    </row>
    <row r="28" spans="1:20" ht="31.5" x14ac:dyDescent="0.2">
      <c r="A28" s="63" t="s">
        <v>458</v>
      </c>
      <c r="B28" s="63" t="s">
        <v>466</v>
      </c>
      <c r="C28" s="63" t="s">
        <v>910</v>
      </c>
      <c r="D28" s="63">
        <v>122</v>
      </c>
      <c r="E28" s="74" t="s">
        <v>434</v>
      </c>
      <c r="F28" s="65">
        <v>0</v>
      </c>
      <c r="G28" s="66">
        <f t="shared" si="0"/>
        <v>18000</v>
      </c>
      <c r="H28" s="100">
        <f>3000+10000+5000</f>
        <v>18000</v>
      </c>
      <c r="J28" s="63" t="s">
        <v>458</v>
      </c>
      <c r="K28" s="63" t="s">
        <v>466</v>
      </c>
      <c r="L28" s="63" t="s">
        <v>910</v>
      </c>
      <c r="M28" s="63">
        <v>122</v>
      </c>
      <c r="N28" s="74" t="s">
        <v>434</v>
      </c>
      <c r="O28" s="65">
        <v>0</v>
      </c>
      <c r="P28" s="66">
        <f t="shared" si="1"/>
        <v>35000</v>
      </c>
      <c r="Q28" s="100">
        <f>5000+10000+20000</f>
        <v>35000</v>
      </c>
      <c r="R28" s="100">
        <v>0</v>
      </c>
      <c r="S28" s="66">
        <f t="shared" si="2"/>
        <v>0</v>
      </c>
      <c r="T28" s="65">
        <v>0</v>
      </c>
    </row>
    <row r="29" spans="1:20" ht="31.5" x14ac:dyDescent="0.2">
      <c r="A29" s="63" t="s">
        <v>458</v>
      </c>
      <c r="B29" s="63" t="s">
        <v>466</v>
      </c>
      <c r="C29" s="63" t="s">
        <v>910</v>
      </c>
      <c r="D29" s="63">
        <v>242</v>
      </c>
      <c r="E29" s="74" t="s">
        <v>433</v>
      </c>
      <c r="F29" s="66">
        <v>0</v>
      </c>
      <c r="G29" s="66">
        <f t="shared" si="0"/>
        <v>3000</v>
      </c>
      <c r="H29" s="99">
        <f>1500+1500</f>
        <v>3000</v>
      </c>
      <c r="J29" s="63" t="s">
        <v>458</v>
      </c>
      <c r="K29" s="63" t="s">
        <v>466</v>
      </c>
      <c r="L29" s="63" t="s">
        <v>910</v>
      </c>
      <c r="M29" s="63">
        <v>242</v>
      </c>
      <c r="N29" s="74" t="s">
        <v>433</v>
      </c>
      <c r="O29" s="66">
        <v>0</v>
      </c>
      <c r="P29" s="66">
        <f t="shared" si="1"/>
        <v>6000</v>
      </c>
      <c r="Q29" s="99">
        <f>3000+3000</f>
        <v>6000</v>
      </c>
      <c r="R29" s="99">
        <v>0</v>
      </c>
      <c r="S29" s="66">
        <f t="shared" si="2"/>
        <v>0</v>
      </c>
      <c r="T29" s="66">
        <v>0</v>
      </c>
    </row>
    <row r="30" spans="1:20" ht="31.5" x14ac:dyDescent="0.2">
      <c r="A30" s="63" t="s">
        <v>458</v>
      </c>
      <c r="B30" s="63" t="s">
        <v>466</v>
      </c>
      <c r="C30" s="63" t="s">
        <v>910</v>
      </c>
      <c r="D30" s="63">
        <v>244</v>
      </c>
      <c r="E30" s="74" t="s">
        <v>434</v>
      </c>
      <c r="F30" s="66">
        <v>0</v>
      </c>
      <c r="G30" s="66">
        <f t="shared" si="0"/>
        <v>22500</v>
      </c>
      <c r="H30" s="99">
        <f>2500+20000</f>
        <v>22500</v>
      </c>
      <c r="J30" s="63" t="s">
        <v>458</v>
      </c>
      <c r="K30" s="63" t="s">
        <v>466</v>
      </c>
      <c r="L30" s="63" t="s">
        <v>910</v>
      </c>
      <c r="M30" s="63">
        <v>244</v>
      </c>
      <c r="N30" s="74" t="s">
        <v>434</v>
      </c>
      <c r="O30" s="66">
        <v>0</v>
      </c>
      <c r="P30" s="66">
        <f t="shared" si="1"/>
        <v>36000</v>
      </c>
      <c r="Q30" s="99">
        <f>6000+30000</f>
        <v>36000</v>
      </c>
      <c r="R30" s="99">
        <v>0</v>
      </c>
      <c r="S30" s="66">
        <f t="shared" si="2"/>
        <v>0</v>
      </c>
      <c r="T30" s="66">
        <v>0</v>
      </c>
    </row>
    <row r="31" spans="1:20" ht="61.5" customHeight="1" x14ac:dyDescent="0.2">
      <c r="A31" s="63" t="s">
        <v>458</v>
      </c>
      <c r="B31" s="63" t="s">
        <v>472</v>
      </c>
      <c r="C31" s="63"/>
      <c r="D31" s="63"/>
      <c r="E31" s="74" t="s">
        <v>473</v>
      </c>
      <c r="F31" s="66" t="e">
        <f>+F35+F40+F44+#REF!+F33</f>
        <v>#REF!</v>
      </c>
      <c r="G31" s="66" t="e">
        <f t="shared" si="0"/>
        <v>#REF!</v>
      </c>
      <c r="H31" s="99">
        <f>+H35+H40+H44+H42+H33</f>
        <v>16716050</v>
      </c>
      <c r="J31" s="63" t="s">
        <v>458</v>
      </c>
      <c r="K31" s="63" t="s">
        <v>472</v>
      </c>
      <c r="L31" s="63"/>
      <c r="M31" s="63"/>
      <c r="N31" s="74" t="s">
        <v>473</v>
      </c>
      <c r="O31" s="66" t="e">
        <f>#REF!+#REF!+#REF!+O35+O40+O44+#REF!+O33</f>
        <v>#REF!</v>
      </c>
      <c r="P31" s="66" t="e">
        <f t="shared" si="1"/>
        <v>#REF!</v>
      </c>
      <c r="Q31" s="99">
        <f>+Q35+Q40+Q44+Q42+Q33</f>
        <v>16646250</v>
      </c>
      <c r="R31" s="99">
        <f>+R35+R40+R44+R42+R33</f>
        <v>15922650</v>
      </c>
      <c r="S31" s="66" t="e">
        <f t="shared" si="2"/>
        <v>#REF!</v>
      </c>
      <c r="T31" s="66" t="e">
        <f>#REF!+#REF!+#REF!+T35+T40+T44+#REF!+T33</f>
        <v>#REF!</v>
      </c>
    </row>
    <row r="32" spans="1:20" ht="101.25" customHeight="1" x14ac:dyDescent="0.2">
      <c r="A32" s="63" t="s">
        <v>458</v>
      </c>
      <c r="B32" s="63" t="s">
        <v>472</v>
      </c>
      <c r="C32" s="63" t="s">
        <v>773</v>
      </c>
      <c r="D32" s="63"/>
      <c r="E32" s="74" t="s">
        <v>774</v>
      </c>
      <c r="F32" s="65">
        <f t="shared" ref="F32:H33" si="4">F33</f>
        <v>0</v>
      </c>
      <c r="G32" s="66">
        <f t="shared" si="0"/>
        <v>0</v>
      </c>
      <c r="H32" s="100">
        <f t="shared" si="4"/>
        <v>0</v>
      </c>
      <c r="J32" s="63" t="s">
        <v>458</v>
      </c>
      <c r="K32" s="63" t="s">
        <v>472</v>
      </c>
      <c r="L32" s="63" t="s">
        <v>773</v>
      </c>
      <c r="M32" s="63"/>
      <c r="N32" s="74" t="s">
        <v>774</v>
      </c>
      <c r="O32" s="65">
        <f t="shared" ref="O32:T33" si="5">O33</f>
        <v>0</v>
      </c>
      <c r="P32" s="66">
        <f t="shared" si="1"/>
        <v>0</v>
      </c>
      <c r="Q32" s="100">
        <f t="shared" si="5"/>
        <v>0</v>
      </c>
      <c r="R32" s="100">
        <f t="shared" si="5"/>
        <v>0</v>
      </c>
      <c r="S32" s="66">
        <f t="shared" si="2"/>
        <v>0</v>
      </c>
      <c r="T32" s="65">
        <f t="shared" si="5"/>
        <v>0</v>
      </c>
    </row>
    <row r="33" spans="1:21" ht="73.5" customHeight="1" x14ac:dyDescent="0.2">
      <c r="A33" s="63" t="s">
        <v>458</v>
      </c>
      <c r="B33" s="63" t="s">
        <v>472</v>
      </c>
      <c r="C33" s="63" t="s">
        <v>775</v>
      </c>
      <c r="D33" s="63"/>
      <c r="E33" s="74" t="s">
        <v>776</v>
      </c>
      <c r="F33" s="65">
        <f t="shared" si="4"/>
        <v>0</v>
      </c>
      <c r="G33" s="66">
        <f t="shared" si="0"/>
        <v>0</v>
      </c>
      <c r="H33" s="100">
        <f t="shared" si="4"/>
        <v>0</v>
      </c>
      <c r="J33" s="63" t="s">
        <v>458</v>
      </c>
      <c r="K33" s="63" t="s">
        <v>472</v>
      </c>
      <c r="L33" s="63" t="s">
        <v>775</v>
      </c>
      <c r="M33" s="63"/>
      <c r="N33" s="74" t="s">
        <v>776</v>
      </c>
      <c r="O33" s="65">
        <f t="shared" si="5"/>
        <v>0</v>
      </c>
      <c r="P33" s="66">
        <f t="shared" si="1"/>
        <v>0</v>
      </c>
      <c r="Q33" s="100">
        <f t="shared" si="5"/>
        <v>0</v>
      </c>
      <c r="R33" s="100">
        <f t="shared" si="5"/>
        <v>0</v>
      </c>
      <c r="S33" s="66">
        <f t="shared" si="2"/>
        <v>0</v>
      </c>
      <c r="T33" s="65">
        <f t="shared" si="5"/>
        <v>0</v>
      </c>
    </row>
    <row r="34" spans="1:21" ht="31.5" x14ac:dyDescent="0.2">
      <c r="A34" s="63" t="s">
        <v>458</v>
      </c>
      <c r="B34" s="63" t="s">
        <v>472</v>
      </c>
      <c r="C34" s="63" t="s">
        <v>775</v>
      </c>
      <c r="D34" s="63" t="s">
        <v>427</v>
      </c>
      <c r="E34" s="74" t="s">
        <v>433</v>
      </c>
      <c r="F34" s="65">
        <v>0</v>
      </c>
      <c r="G34" s="66">
        <f t="shared" si="0"/>
        <v>0</v>
      </c>
      <c r="H34" s="100">
        <v>0</v>
      </c>
      <c r="J34" s="63" t="s">
        <v>458</v>
      </c>
      <c r="K34" s="63" t="s">
        <v>472</v>
      </c>
      <c r="L34" s="63" t="s">
        <v>775</v>
      </c>
      <c r="M34" s="63" t="s">
        <v>427</v>
      </c>
      <c r="N34" s="74" t="s">
        <v>433</v>
      </c>
      <c r="O34" s="65">
        <v>0</v>
      </c>
      <c r="P34" s="66">
        <f t="shared" si="1"/>
        <v>0</v>
      </c>
      <c r="Q34" s="100">
        <v>0</v>
      </c>
      <c r="R34" s="100">
        <v>0</v>
      </c>
      <c r="S34" s="66">
        <f t="shared" si="2"/>
        <v>0</v>
      </c>
      <c r="T34" s="65">
        <v>0</v>
      </c>
    </row>
    <row r="35" spans="1:21" ht="48" customHeight="1" x14ac:dyDescent="0.2">
      <c r="A35" s="63" t="s">
        <v>458</v>
      </c>
      <c r="B35" s="63" t="s">
        <v>472</v>
      </c>
      <c r="C35" s="63" t="s">
        <v>682</v>
      </c>
      <c r="D35" s="63"/>
      <c r="E35" s="74" t="s">
        <v>683</v>
      </c>
      <c r="F35" s="65">
        <f>F36+F37+F38+F39</f>
        <v>840000</v>
      </c>
      <c r="G35" s="66">
        <f t="shared" si="0"/>
        <v>-17000</v>
      </c>
      <c r="H35" s="100">
        <f>H36+H37+H38+H39</f>
        <v>823000</v>
      </c>
      <c r="J35" s="63" t="s">
        <v>458</v>
      </c>
      <c r="K35" s="63" t="s">
        <v>472</v>
      </c>
      <c r="L35" s="63" t="s">
        <v>682</v>
      </c>
      <c r="M35" s="63"/>
      <c r="N35" s="74" t="s">
        <v>683</v>
      </c>
      <c r="O35" s="65">
        <f t="shared" ref="O35:T35" si="6">O36+O37+O38+O39</f>
        <v>840000</v>
      </c>
      <c r="P35" s="66">
        <f t="shared" si="1"/>
        <v>-17000</v>
      </c>
      <c r="Q35" s="100">
        <f t="shared" si="6"/>
        <v>823000</v>
      </c>
      <c r="R35" s="100">
        <f t="shared" si="6"/>
        <v>823000</v>
      </c>
      <c r="S35" s="66">
        <f t="shared" si="2"/>
        <v>-823000</v>
      </c>
      <c r="T35" s="65">
        <f t="shared" si="6"/>
        <v>0</v>
      </c>
    </row>
    <row r="36" spans="1:21" ht="21" x14ac:dyDescent="0.2">
      <c r="A36" s="63" t="s">
        <v>458</v>
      </c>
      <c r="B36" s="63" t="s">
        <v>472</v>
      </c>
      <c r="C36" s="63" t="s">
        <v>682</v>
      </c>
      <c r="D36" s="63" t="s">
        <v>424</v>
      </c>
      <c r="E36" s="74" t="s">
        <v>431</v>
      </c>
      <c r="F36" s="65">
        <f>462640+139720+44040</f>
        <v>646400</v>
      </c>
      <c r="G36" s="66">
        <f t="shared" si="0"/>
        <v>0</v>
      </c>
      <c r="H36" s="100">
        <f>496460+149940</f>
        <v>646400</v>
      </c>
      <c r="J36" s="63" t="s">
        <v>458</v>
      </c>
      <c r="K36" s="63" t="s">
        <v>472</v>
      </c>
      <c r="L36" s="63" t="s">
        <v>682</v>
      </c>
      <c r="M36" s="63" t="s">
        <v>424</v>
      </c>
      <c r="N36" s="74" t="s">
        <v>431</v>
      </c>
      <c r="O36" s="65">
        <f>462640+139720+44040</f>
        <v>646400</v>
      </c>
      <c r="P36" s="66">
        <f t="shared" si="1"/>
        <v>0</v>
      </c>
      <c r="Q36" s="100">
        <f>496460+149940</f>
        <v>646400</v>
      </c>
      <c r="R36" s="100">
        <f>496460+149940</f>
        <v>646400</v>
      </c>
      <c r="S36" s="66">
        <f t="shared" si="2"/>
        <v>-646400</v>
      </c>
      <c r="T36" s="65"/>
    </row>
    <row r="37" spans="1:21" ht="31.5" x14ac:dyDescent="0.2">
      <c r="A37" s="63" t="s">
        <v>458</v>
      </c>
      <c r="B37" s="63" t="s">
        <v>472</v>
      </c>
      <c r="C37" s="63" t="s">
        <v>682</v>
      </c>
      <c r="D37" s="63" t="s">
        <v>425</v>
      </c>
      <c r="E37" s="74" t="s">
        <v>432</v>
      </c>
      <c r="F37" s="65">
        <v>3200</v>
      </c>
      <c r="G37" s="66">
        <f t="shared" si="0"/>
        <v>18100</v>
      </c>
      <c r="H37" s="100">
        <f>3200+8500+9600</f>
        <v>21300</v>
      </c>
      <c r="J37" s="63" t="s">
        <v>458</v>
      </c>
      <c r="K37" s="63" t="s">
        <v>472</v>
      </c>
      <c r="L37" s="63" t="s">
        <v>682</v>
      </c>
      <c r="M37" s="63" t="s">
        <v>425</v>
      </c>
      <c r="N37" s="74" t="s">
        <v>432</v>
      </c>
      <c r="O37" s="65">
        <v>3200</v>
      </c>
      <c r="P37" s="66">
        <f t="shared" si="1"/>
        <v>18100</v>
      </c>
      <c r="Q37" s="100">
        <f>3200+8500+9600</f>
        <v>21300</v>
      </c>
      <c r="R37" s="100">
        <f>3200+8500+9600</f>
        <v>21300</v>
      </c>
      <c r="S37" s="66">
        <f t="shared" si="2"/>
        <v>-21300</v>
      </c>
      <c r="T37" s="65"/>
    </row>
    <row r="38" spans="1:21" ht="31.5" x14ac:dyDescent="0.2">
      <c r="A38" s="63" t="s">
        <v>458</v>
      </c>
      <c r="B38" s="63" t="s">
        <v>472</v>
      </c>
      <c r="C38" s="63" t="s">
        <v>682</v>
      </c>
      <c r="D38" s="63" t="s">
        <v>427</v>
      </c>
      <c r="E38" s="74" t="s">
        <v>433</v>
      </c>
      <c r="F38" s="65">
        <f>14000+26800</f>
        <v>40800</v>
      </c>
      <c r="G38" s="66">
        <f t="shared" si="0"/>
        <v>1125</v>
      </c>
      <c r="H38" s="100">
        <f>14000+1800+26125</f>
        <v>41925</v>
      </c>
      <c r="J38" s="63" t="s">
        <v>458</v>
      </c>
      <c r="K38" s="63" t="s">
        <v>472</v>
      </c>
      <c r="L38" s="63" t="s">
        <v>682</v>
      </c>
      <c r="M38" s="63" t="s">
        <v>427</v>
      </c>
      <c r="N38" s="74" t="s">
        <v>433</v>
      </c>
      <c r="O38" s="65">
        <f>14000+26800</f>
        <v>40800</v>
      </c>
      <c r="P38" s="66">
        <f t="shared" si="1"/>
        <v>1125</v>
      </c>
      <c r="Q38" s="100">
        <f>14000+1800+26125</f>
        <v>41925</v>
      </c>
      <c r="R38" s="100">
        <f>14000+1800+26125</f>
        <v>41925</v>
      </c>
      <c r="S38" s="66">
        <f t="shared" si="2"/>
        <v>-41925</v>
      </c>
      <c r="T38" s="65"/>
    </row>
    <row r="39" spans="1:21" ht="31.5" x14ac:dyDescent="0.2">
      <c r="A39" s="63" t="s">
        <v>458</v>
      </c>
      <c r="B39" s="63" t="s">
        <v>472</v>
      </c>
      <c r="C39" s="63" t="s">
        <v>682</v>
      </c>
      <c r="D39" s="63" t="s">
        <v>423</v>
      </c>
      <c r="E39" s="74" t="s">
        <v>434</v>
      </c>
      <c r="F39" s="65">
        <f>10400+25600+113600</f>
        <v>149600</v>
      </c>
      <c r="G39" s="66">
        <f t="shared" si="0"/>
        <v>-36225</v>
      </c>
      <c r="H39" s="100">
        <f>6000+4000+11875+91500</f>
        <v>113375</v>
      </c>
      <c r="J39" s="63" t="s">
        <v>458</v>
      </c>
      <c r="K39" s="63" t="s">
        <v>472</v>
      </c>
      <c r="L39" s="63" t="s">
        <v>682</v>
      </c>
      <c r="M39" s="63" t="s">
        <v>423</v>
      </c>
      <c r="N39" s="74" t="s">
        <v>434</v>
      </c>
      <c r="O39" s="65">
        <f>10400+25600+113600</f>
        <v>149600</v>
      </c>
      <c r="P39" s="66">
        <f t="shared" si="1"/>
        <v>-36225</v>
      </c>
      <c r="Q39" s="100">
        <f>6000+4000+11875+91500</f>
        <v>113375</v>
      </c>
      <c r="R39" s="100">
        <f>6000+4000+11875+91500</f>
        <v>113375</v>
      </c>
      <c r="S39" s="66">
        <f t="shared" si="2"/>
        <v>-113375</v>
      </c>
      <c r="T39" s="65"/>
    </row>
    <row r="40" spans="1:21" ht="73.5" x14ac:dyDescent="0.2">
      <c r="A40" s="63" t="s">
        <v>458</v>
      </c>
      <c r="B40" s="63" t="s">
        <v>472</v>
      </c>
      <c r="C40" s="63" t="s">
        <v>684</v>
      </c>
      <c r="D40" s="63"/>
      <c r="E40" s="74" t="s">
        <v>683</v>
      </c>
      <c r="F40" s="65">
        <f>F41</f>
        <v>0</v>
      </c>
      <c r="G40" s="66">
        <f t="shared" si="0"/>
        <v>0</v>
      </c>
      <c r="H40" s="100">
        <f>H41</f>
        <v>0</v>
      </c>
      <c r="J40" s="63" t="s">
        <v>458</v>
      </c>
      <c r="K40" s="63" t="s">
        <v>472</v>
      </c>
      <c r="L40" s="63" t="s">
        <v>684</v>
      </c>
      <c r="M40" s="63"/>
      <c r="N40" s="74" t="s">
        <v>683</v>
      </c>
      <c r="O40" s="65">
        <f t="shared" ref="O40:T40" si="7">O41</f>
        <v>0</v>
      </c>
      <c r="P40" s="66">
        <f t="shared" si="1"/>
        <v>0</v>
      </c>
      <c r="Q40" s="100">
        <f t="shared" si="7"/>
        <v>0</v>
      </c>
      <c r="R40" s="100">
        <f t="shared" si="7"/>
        <v>0</v>
      </c>
      <c r="S40" s="66">
        <f t="shared" si="2"/>
        <v>0</v>
      </c>
      <c r="T40" s="65">
        <f t="shared" si="7"/>
        <v>0</v>
      </c>
    </row>
    <row r="41" spans="1:21" ht="21" x14ac:dyDescent="0.2">
      <c r="A41" s="63" t="s">
        <v>458</v>
      </c>
      <c r="B41" s="63" t="s">
        <v>472</v>
      </c>
      <c r="C41" s="63" t="s">
        <v>684</v>
      </c>
      <c r="D41" s="63" t="s">
        <v>424</v>
      </c>
      <c r="E41" s="74" t="s">
        <v>431</v>
      </c>
      <c r="F41" s="65">
        <v>0</v>
      </c>
      <c r="G41" s="66">
        <f t="shared" si="0"/>
        <v>0</v>
      </c>
      <c r="H41" s="100">
        <v>0</v>
      </c>
      <c r="J41" s="63" t="s">
        <v>458</v>
      </c>
      <c r="K41" s="63" t="s">
        <v>472</v>
      </c>
      <c r="L41" s="63" t="s">
        <v>684</v>
      </c>
      <c r="M41" s="63" t="s">
        <v>424</v>
      </c>
      <c r="N41" s="74" t="s">
        <v>431</v>
      </c>
      <c r="O41" s="65">
        <v>0</v>
      </c>
      <c r="P41" s="66">
        <f t="shared" si="1"/>
        <v>0</v>
      </c>
      <c r="Q41" s="100">
        <v>0</v>
      </c>
      <c r="R41" s="100">
        <v>0</v>
      </c>
      <c r="S41" s="66">
        <f t="shared" si="2"/>
        <v>0</v>
      </c>
      <c r="T41" s="65">
        <v>0</v>
      </c>
    </row>
    <row r="42" spans="1:21" ht="31.5" x14ac:dyDescent="0.2">
      <c r="A42" s="63" t="s">
        <v>458</v>
      </c>
      <c r="B42" s="63" t="s">
        <v>472</v>
      </c>
      <c r="C42" s="63" t="s">
        <v>912</v>
      </c>
      <c r="D42" s="63"/>
      <c r="E42" s="74" t="s">
        <v>777</v>
      </c>
      <c r="F42" s="65">
        <f>F43</f>
        <v>3041600</v>
      </c>
      <c r="G42" s="66">
        <f t="shared" si="0"/>
        <v>-580050</v>
      </c>
      <c r="H42" s="100">
        <f>H43</f>
        <v>2461550</v>
      </c>
      <c r="J42" s="63" t="s">
        <v>458</v>
      </c>
      <c r="K42" s="63" t="s">
        <v>472</v>
      </c>
      <c r="L42" s="63" t="s">
        <v>912</v>
      </c>
      <c r="M42" s="63"/>
      <c r="N42" s="74" t="s">
        <v>777</v>
      </c>
      <c r="O42" s="65">
        <f>O43</f>
        <v>3041600</v>
      </c>
      <c r="P42" s="66">
        <f t="shared" si="1"/>
        <v>-580050</v>
      </c>
      <c r="Q42" s="100">
        <f>Q43</f>
        <v>2461550</v>
      </c>
      <c r="R42" s="100">
        <f>R43</f>
        <v>2461550</v>
      </c>
      <c r="S42" s="66"/>
      <c r="T42" s="65"/>
    </row>
    <row r="43" spans="1:21" ht="21" x14ac:dyDescent="0.2">
      <c r="A43" s="63" t="s">
        <v>458</v>
      </c>
      <c r="B43" s="63" t="s">
        <v>472</v>
      </c>
      <c r="C43" s="63" t="s">
        <v>912</v>
      </c>
      <c r="D43" s="63" t="s">
        <v>424</v>
      </c>
      <c r="E43" s="74" t="s">
        <v>431</v>
      </c>
      <c r="F43" s="65">
        <f>2336100+705500</f>
        <v>3041600</v>
      </c>
      <c r="G43" s="66">
        <f t="shared" si="0"/>
        <v>-580050</v>
      </c>
      <c r="H43" s="100">
        <f>1890600+570950</f>
        <v>2461550</v>
      </c>
      <c r="J43" s="63" t="s">
        <v>458</v>
      </c>
      <c r="K43" s="63" t="s">
        <v>472</v>
      </c>
      <c r="L43" s="63" t="s">
        <v>912</v>
      </c>
      <c r="M43" s="63" t="s">
        <v>424</v>
      </c>
      <c r="N43" s="74" t="s">
        <v>431</v>
      </c>
      <c r="O43" s="65">
        <f>2336100+705500</f>
        <v>3041600</v>
      </c>
      <c r="P43" s="66">
        <f t="shared" si="1"/>
        <v>-580050</v>
      </c>
      <c r="Q43" s="100">
        <f>1890600+570950</f>
        <v>2461550</v>
      </c>
      <c r="R43" s="100">
        <f>1890600+570950</f>
        <v>2461550</v>
      </c>
      <c r="S43" s="66"/>
      <c r="T43" s="65"/>
    </row>
    <row r="44" spans="1:21" ht="31.5" x14ac:dyDescent="0.2">
      <c r="A44" s="63" t="s">
        <v>458</v>
      </c>
      <c r="B44" s="63" t="s">
        <v>472</v>
      </c>
      <c r="C44" s="63" t="s">
        <v>911</v>
      </c>
      <c r="D44" s="63"/>
      <c r="E44" s="74" t="s">
        <v>685</v>
      </c>
      <c r="F44" s="65">
        <f>F45+F46+F47+F48+F49+F50</f>
        <v>10213720</v>
      </c>
      <c r="G44" s="66">
        <f t="shared" si="0"/>
        <v>3217780</v>
      </c>
      <c r="H44" s="100">
        <f>H45+H46+H47+H48+H49+H50</f>
        <v>13431500</v>
      </c>
      <c r="J44" s="63" t="s">
        <v>458</v>
      </c>
      <c r="K44" s="63" t="s">
        <v>472</v>
      </c>
      <c r="L44" s="63" t="s">
        <v>911</v>
      </c>
      <c r="M44" s="63"/>
      <c r="N44" s="74" t="s">
        <v>685</v>
      </c>
      <c r="O44" s="65">
        <f t="shared" ref="O44:T44" si="8">O45+O46+O47+O48+O49+O50</f>
        <v>10213720</v>
      </c>
      <c r="P44" s="66">
        <f t="shared" si="1"/>
        <v>3147980</v>
      </c>
      <c r="Q44" s="100">
        <f t="shared" si="8"/>
        <v>13361700</v>
      </c>
      <c r="R44" s="100">
        <f t="shared" si="8"/>
        <v>12638100</v>
      </c>
      <c r="S44" s="66">
        <f t="shared" si="2"/>
        <v>-12638100</v>
      </c>
      <c r="T44" s="65">
        <f t="shared" si="8"/>
        <v>0</v>
      </c>
    </row>
    <row r="45" spans="1:21" ht="21" x14ac:dyDescent="0.2">
      <c r="A45" s="63" t="s">
        <v>458</v>
      </c>
      <c r="B45" s="63" t="s">
        <v>472</v>
      </c>
      <c r="C45" s="63" t="s">
        <v>911</v>
      </c>
      <c r="D45" s="63" t="s">
        <v>424</v>
      </c>
      <c r="E45" s="74" t="s">
        <v>431</v>
      </c>
      <c r="F45" s="65">
        <v>9994720</v>
      </c>
      <c r="G45" s="66">
        <f t="shared" si="0"/>
        <v>-44320</v>
      </c>
      <c r="H45" s="100">
        <f>7642100+2308300</f>
        <v>9950400</v>
      </c>
      <c r="J45" s="63" t="s">
        <v>458</v>
      </c>
      <c r="K45" s="63" t="s">
        <v>472</v>
      </c>
      <c r="L45" s="63" t="s">
        <v>911</v>
      </c>
      <c r="M45" s="63" t="s">
        <v>424</v>
      </c>
      <c r="N45" s="74" t="s">
        <v>431</v>
      </c>
      <c r="O45" s="65">
        <v>9994720</v>
      </c>
      <c r="P45" s="66">
        <f t="shared" si="1"/>
        <v>-157720</v>
      </c>
      <c r="Q45" s="100">
        <f>7555000+2282000</f>
        <v>9837000</v>
      </c>
      <c r="R45" s="100">
        <f>7555000+2282000</f>
        <v>9837000</v>
      </c>
      <c r="S45" s="66">
        <f t="shared" si="2"/>
        <v>-9837000</v>
      </c>
      <c r="T45" s="65"/>
      <c r="U45" s="80"/>
    </row>
    <row r="46" spans="1:21" ht="31.5" x14ac:dyDescent="0.2">
      <c r="A46" s="63" t="s">
        <v>458</v>
      </c>
      <c r="B46" s="63" t="s">
        <v>472</v>
      </c>
      <c r="C46" s="63" t="s">
        <v>911</v>
      </c>
      <c r="D46" s="63" t="s">
        <v>425</v>
      </c>
      <c r="E46" s="74" t="s">
        <v>432</v>
      </c>
      <c r="F46" s="65">
        <v>0</v>
      </c>
      <c r="G46" s="66">
        <f t="shared" si="0"/>
        <v>390000</v>
      </c>
      <c r="H46" s="100">
        <f>50000+90000+250000</f>
        <v>390000</v>
      </c>
      <c r="J46" s="63" t="s">
        <v>458</v>
      </c>
      <c r="K46" s="63" t="s">
        <v>472</v>
      </c>
      <c r="L46" s="63" t="s">
        <v>911</v>
      </c>
      <c r="M46" s="63" t="s">
        <v>425</v>
      </c>
      <c r="N46" s="74" t="s">
        <v>432</v>
      </c>
      <c r="O46" s="65">
        <v>0</v>
      </c>
      <c r="P46" s="66">
        <f t="shared" si="1"/>
        <v>466600</v>
      </c>
      <c r="Q46" s="100">
        <f>59600+107000+300000</f>
        <v>466600</v>
      </c>
      <c r="R46" s="100">
        <v>0</v>
      </c>
      <c r="S46" s="66">
        <f t="shared" si="2"/>
        <v>0</v>
      </c>
      <c r="T46" s="65">
        <v>0</v>
      </c>
    </row>
    <row r="47" spans="1:21" ht="31.5" x14ac:dyDescent="0.2">
      <c r="A47" s="63" t="s">
        <v>458</v>
      </c>
      <c r="B47" s="63" t="s">
        <v>472</v>
      </c>
      <c r="C47" s="63" t="s">
        <v>911</v>
      </c>
      <c r="D47" s="63" t="s">
        <v>427</v>
      </c>
      <c r="E47" s="74" t="s">
        <v>433</v>
      </c>
      <c r="F47" s="65">
        <v>0</v>
      </c>
      <c r="G47" s="66">
        <f t="shared" si="0"/>
        <v>320000</v>
      </c>
      <c r="H47" s="100">
        <f>280000+20000+20000</f>
        <v>320000</v>
      </c>
      <c r="J47" s="63" t="s">
        <v>458</v>
      </c>
      <c r="K47" s="63" t="s">
        <v>472</v>
      </c>
      <c r="L47" s="63" t="s">
        <v>911</v>
      </c>
      <c r="M47" s="63" t="s">
        <v>427</v>
      </c>
      <c r="N47" s="74" t="s">
        <v>433</v>
      </c>
      <c r="O47" s="65">
        <v>0</v>
      </c>
      <c r="P47" s="66">
        <f t="shared" si="1"/>
        <v>347000</v>
      </c>
      <c r="Q47" s="100">
        <f>280000+27000+40000</f>
        <v>347000</v>
      </c>
      <c r="R47" s="100">
        <v>280000</v>
      </c>
      <c r="S47" s="66">
        <f t="shared" si="2"/>
        <v>-280000</v>
      </c>
      <c r="T47" s="65">
        <v>0</v>
      </c>
    </row>
    <row r="48" spans="1:21" ht="31.5" x14ac:dyDescent="0.2">
      <c r="A48" s="63" t="s">
        <v>458</v>
      </c>
      <c r="B48" s="63" t="s">
        <v>472</v>
      </c>
      <c r="C48" s="63" t="s">
        <v>911</v>
      </c>
      <c r="D48" s="63" t="s">
        <v>423</v>
      </c>
      <c r="E48" s="74" t="s">
        <v>434</v>
      </c>
      <c r="F48" s="65">
        <v>0</v>
      </c>
      <c r="G48" s="66">
        <f t="shared" si="0"/>
        <v>2559100</v>
      </c>
      <c r="H48" s="100">
        <f>27000+3000+1379100+220000+200000+50000+680000</f>
        <v>2559100</v>
      </c>
      <c r="J48" s="63" t="s">
        <v>458</v>
      </c>
      <c r="K48" s="63" t="s">
        <v>472</v>
      </c>
      <c r="L48" s="63" t="s">
        <v>911</v>
      </c>
      <c r="M48" s="63" t="s">
        <v>423</v>
      </c>
      <c r="N48" s="74" t="s">
        <v>434</v>
      </c>
      <c r="O48" s="65">
        <v>0</v>
      </c>
      <c r="P48" s="66">
        <f t="shared" si="1"/>
        <v>2499100</v>
      </c>
      <c r="Q48" s="100">
        <f>27000+3000+1379100+240000+50000+800000</f>
        <v>2499100</v>
      </c>
      <c r="R48" s="100">
        <f>1379100+200000+50000+680000</f>
        <v>2309100</v>
      </c>
      <c r="S48" s="66">
        <f t="shared" si="2"/>
        <v>-2309100</v>
      </c>
      <c r="T48" s="65">
        <v>0</v>
      </c>
    </row>
    <row r="49" spans="1:20" ht="31.5" x14ac:dyDescent="0.2">
      <c r="A49" s="63" t="s">
        <v>458</v>
      </c>
      <c r="B49" s="63" t="s">
        <v>472</v>
      </c>
      <c r="C49" s="63" t="s">
        <v>911</v>
      </c>
      <c r="D49" s="63" t="s">
        <v>330</v>
      </c>
      <c r="E49" s="74" t="s">
        <v>393</v>
      </c>
      <c r="F49" s="65">
        <v>180000</v>
      </c>
      <c r="G49" s="66">
        <f t="shared" si="0"/>
        <v>-7000</v>
      </c>
      <c r="H49" s="100">
        <v>173000</v>
      </c>
      <c r="J49" s="63" t="s">
        <v>458</v>
      </c>
      <c r="K49" s="63" t="s">
        <v>472</v>
      </c>
      <c r="L49" s="63" t="s">
        <v>911</v>
      </c>
      <c r="M49" s="63" t="s">
        <v>330</v>
      </c>
      <c r="N49" s="74" t="s">
        <v>393</v>
      </c>
      <c r="O49" s="65">
        <v>180000</v>
      </c>
      <c r="P49" s="66">
        <f t="shared" si="1"/>
        <v>-7000</v>
      </c>
      <c r="Q49" s="100">
        <v>173000</v>
      </c>
      <c r="R49" s="100">
        <v>173000</v>
      </c>
      <c r="S49" s="66">
        <f t="shared" si="2"/>
        <v>-173000</v>
      </c>
      <c r="T49" s="65"/>
    </row>
    <row r="50" spans="1:20" x14ac:dyDescent="0.2">
      <c r="A50" s="63" t="s">
        <v>458</v>
      </c>
      <c r="B50" s="63" t="s">
        <v>472</v>
      </c>
      <c r="C50" s="63" t="s">
        <v>911</v>
      </c>
      <c r="D50" s="63" t="s">
        <v>249</v>
      </c>
      <c r="E50" s="74" t="s">
        <v>954</v>
      </c>
      <c r="F50" s="65">
        <v>39000</v>
      </c>
      <c r="G50" s="66">
        <f t="shared" si="0"/>
        <v>0</v>
      </c>
      <c r="H50" s="100">
        <v>39000</v>
      </c>
      <c r="J50" s="63" t="s">
        <v>458</v>
      </c>
      <c r="K50" s="63" t="s">
        <v>472</v>
      </c>
      <c r="L50" s="63" t="s">
        <v>911</v>
      </c>
      <c r="M50" s="63" t="s">
        <v>249</v>
      </c>
      <c r="N50" s="74" t="s">
        <v>954</v>
      </c>
      <c r="O50" s="65">
        <v>39000</v>
      </c>
      <c r="P50" s="66">
        <f t="shared" si="1"/>
        <v>0</v>
      </c>
      <c r="Q50" s="100">
        <v>39000</v>
      </c>
      <c r="R50" s="100">
        <v>39000</v>
      </c>
      <c r="S50" s="66">
        <f t="shared" si="2"/>
        <v>-39000</v>
      </c>
      <c r="T50" s="65"/>
    </row>
    <row r="51" spans="1:20" ht="52.5" x14ac:dyDescent="0.2">
      <c r="A51" s="63" t="s">
        <v>458</v>
      </c>
      <c r="B51" s="63" t="s">
        <v>620</v>
      </c>
      <c r="C51" s="63"/>
      <c r="D51" s="63"/>
      <c r="E51" s="74" t="s">
        <v>621</v>
      </c>
      <c r="F51" s="65">
        <f>F53+F54+F55</f>
        <v>596100</v>
      </c>
      <c r="G51" s="66">
        <f t="shared" si="0"/>
        <v>21100</v>
      </c>
      <c r="H51" s="100">
        <f>H53+H54+H55</f>
        <v>617200</v>
      </c>
      <c r="J51" s="63" t="s">
        <v>458</v>
      </c>
      <c r="K51" s="63" t="s">
        <v>620</v>
      </c>
      <c r="L51" s="63"/>
      <c r="M51" s="63"/>
      <c r="N51" s="74" t="s">
        <v>621</v>
      </c>
      <c r="O51" s="65">
        <f t="shared" ref="O51:T51" si="9">O53+O54+O55</f>
        <v>596100</v>
      </c>
      <c r="P51" s="66">
        <f t="shared" si="1"/>
        <v>33300</v>
      </c>
      <c r="Q51" s="100">
        <f t="shared" si="9"/>
        <v>629400</v>
      </c>
      <c r="R51" s="100">
        <f t="shared" si="9"/>
        <v>629200</v>
      </c>
      <c r="S51" s="66">
        <f t="shared" si="2"/>
        <v>-629200</v>
      </c>
      <c r="T51" s="65">
        <f t="shared" si="9"/>
        <v>0</v>
      </c>
    </row>
    <row r="52" spans="1:20" ht="31.5" x14ac:dyDescent="0.2">
      <c r="A52" s="63" t="s">
        <v>458</v>
      </c>
      <c r="B52" s="63" t="s">
        <v>620</v>
      </c>
      <c r="C52" s="63" t="s">
        <v>912</v>
      </c>
      <c r="D52" s="63"/>
      <c r="E52" s="74" t="s">
        <v>777</v>
      </c>
      <c r="F52" s="65">
        <f>F53+F54+F55</f>
        <v>596100</v>
      </c>
      <c r="G52" s="66">
        <f t="shared" si="0"/>
        <v>21100</v>
      </c>
      <c r="H52" s="100">
        <f>H53+H54+H55</f>
        <v>617200</v>
      </c>
      <c r="J52" s="63" t="s">
        <v>458</v>
      </c>
      <c r="K52" s="63" t="s">
        <v>620</v>
      </c>
      <c r="L52" s="63" t="s">
        <v>912</v>
      </c>
      <c r="M52" s="63"/>
      <c r="N52" s="74" t="s">
        <v>777</v>
      </c>
      <c r="O52" s="65">
        <f>O53+O54+O55</f>
        <v>596100</v>
      </c>
      <c r="P52" s="66">
        <f t="shared" si="1"/>
        <v>33300</v>
      </c>
      <c r="Q52" s="100">
        <f>Q53+Q54+Q55</f>
        <v>629400</v>
      </c>
      <c r="R52" s="100">
        <f>R53+R54+R55</f>
        <v>629200</v>
      </c>
      <c r="S52" s="66">
        <f t="shared" si="2"/>
        <v>-629200</v>
      </c>
      <c r="T52" s="65">
        <f>T53+T54+T55</f>
        <v>0</v>
      </c>
    </row>
    <row r="53" spans="1:20" ht="21" x14ac:dyDescent="0.2">
      <c r="A53" s="63" t="s">
        <v>458</v>
      </c>
      <c r="B53" s="63" t="s">
        <v>620</v>
      </c>
      <c r="C53" s="63" t="s">
        <v>912</v>
      </c>
      <c r="D53" s="63" t="s">
        <v>424</v>
      </c>
      <c r="E53" s="74" t="s">
        <v>431</v>
      </c>
      <c r="F53" s="65">
        <v>596100</v>
      </c>
      <c r="G53" s="66">
        <f t="shared" si="0"/>
        <v>5300</v>
      </c>
      <c r="H53" s="100">
        <f>461900+139500</f>
        <v>601400</v>
      </c>
      <c r="J53" s="63" t="s">
        <v>458</v>
      </c>
      <c r="K53" s="63" t="s">
        <v>620</v>
      </c>
      <c r="L53" s="63" t="s">
        <v>912</v>
      </c>
      <c r="M53" s="63" t="s">
        <v>424</v>
      </c>
      <c r="N53" s="74" t="s">
        <v>431</v>
      </c>
      <c r="O53" s="65">
        <v>596100</v>
      </c>
      <c r="P53" s="66">
        <f t="shared" si="1"/>
        <v>5300</v>
      </c>
      <c r="Q53" s="100">
        <f>461900+139500</f>
        <v>601400</v>
      </c>
      <c r="R53" s="100">
        <f>461900+139500</f>
        <v>601400</v>
      </c>
      <c r="S53" s="66">
        <f t="shared" si="2"/>
        <v>-601400</v>
      </c>
      <c r="T53" s="65"/>
    </row>
    <row r="54" spans="1:20" ht="31.5" x14ac:dyDescent="0.2">
      <c r="A54" s="63" t="s">
        <v>458</v>
      </c>
      <c r="B54" s="63" t="s">
        <v>620</v>
      </c>
      <c r="C54" s="63" t="s">
        <v>912</v>
      </c>
      <c r="D54" s="63" t="s">
        <v>425</v>
      </c>
      <c r="E54" s="74" t="s">
        <v>432</v>
      </c>
      <c r="F54" s="65">
        <v>0</v>
      </c>
      <c r="G54" s="66">
        <f t="shared" si="0"/>
        <v>7800</v>
      </c>
      <c r="H54" s="100">
        <f>800+3000+4000</f>
        <v>7800</v>
      </c>
      <c r="J54" s="63" t="s">
        <v>458</v>
      </c>
      <c r="K54" s="63" t="s">
        <v>620</v>
      </c>
      <c r="L54" s="63" t="s">
        <v>912</v>
      </c>
      <c r="M54" s="63" t="s">
        <v>425</v>
      </c>
      <c r="N54" s="74" t="s">
        <v>432</v>
      </c>
      <c r="O54" s="65">
        <v>0</v>
      </c>
      <c r="P54" s="66">
        <f t="shared" si="1"/>
        <v>8000</v>
      </c>
      <c r="Q54" s="100">
        <f>1000+3000+4000</f>
        <v>8000</v>
      </c>
      <c r="R54" s="100">
        <f>800+3000+4000</f>
        <v>7800</v>
      </c>
      <c r="S54" s="66">
        <f t="shared" si="2"/>
        <v>-7800</v>
      </c>
      <c r="T54" s="65">
        <v>0</v>
      </c>
    </row>
    <row r="55" spans="1:20" ht="31.5" x14ac:dyDescent="0.2">
      <c r="A55" s="63" t="s">
        <v>458</v>
      </c>
      <c r="B55" s="63" t="s">
        <v>620</v>
      </c>
      <c r="C55" s="63" t="s">
        <v>912</v>
      </c>
      <c r="D55" s="63" t="s">
        <v>423</v>
      </c>
      <c r="E55" s="74" t="s">
        <v>434</v>
      </c>
      <c r="F55" s="65">
        <v>0</v>
      </c>
      <c r="G55" s="66">
        <f t="shared" si="0"/>
        <v>8000</v>
      </c>
      <c r="H55" s="100">
        <v>8000</v>
      </c>
      <c r="J55" s="63" t="s">
        <v>458</v>
      </c>
      <c r="K55" s="63" t="s">
        <v>620</v>
      </c>
      <c r="L55" s="63" t="s">
        <v>912</v>
      </c>
      <c r="M55" s="63" t="s">
        <v>423</v>
      </c>
      <c r="N55" s="74" t="s">
        <v>434</v>
      </c>
      <c r="O55" s="65">
        <v>0</v>
      </c>
      <c r="P55" s="66">
        <f t="shared" si="1"/>
        <v>20000</v>
      </c>
      <c r="Q55" s="100">
        <v>20000</v>
      </c>
      <c r="R55" s="100">
        <v>20000</v>
      </c>
      <c r="S55" s="66">
        <f t="shared" si="2"/>
        <v>-20000</v>
      </c>
      <c r="T55" s="65">
        <v>0</v>
      </c>
    </row>
    <row r="56" spans="1:20" ht="21" x14ac:dyDescent="0.2">
      <c r="A56" s="63" t="s">
        <v>458</v>
      </c>
      <c r="B56" s="63" t="s">
        <v>380</v>
      </c>
      <c r="C56" s="63"/>
      <c r="D56" s="63"/>
      <c r="E56" s="74" t="s">
        <v>401</v>
      </c>
      <c r="F56" s="65"/>
      <c r="G56" s="66"/>
      <c r="H56" s="100">
        <f>H57</f>
        <v>180000</v>
      </c>
      <c r="J56" s="63" t="s">
        <v>458</v>
      </c>
      <c r="K56" s="63" t="s">
        <v>380</v>
      </c>
      <c r="L56" s="63"/>
      <c r="M56" s="63"/>
      <c r="N56" s="74" t="s">
        <v>401</v>
      </c>
      <c r="O56" s="65"/>
      <c r="P56" s="66"/>
      <c r="Q56" s="100">
        <f>Q57</f>
        <v>0</v>
      </c>
      <c r="R56" s="100">
        <f>R57</f>
        <v>0</v>
      </c>
      <c r="S56" s="66"/>
      <c r="T56" s="65"/>
    </row>
    <row r="57" spans="1:20" ht="31.5" x14ac:dyDescent="0.2">
      <c r="A57" s="63" t="s">
        <v>458</v>
      </c>
      <c r="B57" s="63" t="s">
        <v>380</v>
      </c>
      <c r="C57" s="63" t="s">
        <v>909</v>
      </c>
      <c r="D57" s="63"/>
      <c r="E57" s="74" t="s">
        <v>471</v>
      </c>
      <c r="F57" s="65"/>
      <c r="G57" s="66"/>
      <c r="H57" s="100">
        <f>H58</f>
        <v>180000</v>
      </c>
      <c r="J57" s="63" t="s">
        <v>458</v>
      </c>
      <c r="K57" s="63" t="s">
        <v>380</v>
      </c>
      <c r="L57" s="63" t="s">
        <v>909</v>
      </c>
      <c r="M57" s="63"/>
      <c r="N57" s="74" t="s">
        <v>471</v>
      </c>
      <c r="O57" s="65"/>
      <c r="P57" s="66"/>
      <c r="Q57" s="100">
        <f>Q58</f>
        <v>0</v>
      </c>
      <c r="R57" s="100">
        <f>R58</f>
        <v>0</v>
      </c>
      <c r="S57" s="66"/>
      <c r="T57" s="65"/>
    </row>
    <row r="58" spans="1:20" x14ac:dyDescent="0.2">
      <c r="A58" s="63" t="s">
        <v>458</v>
      </c>
      <c r="B58" s="63" t="s">
        <v>380</v>
      </c>
      <c r="C58" s="63" t="s">
        <v>909</v>
      </c>
      <c r="D58" s="63" t="s">
        <v>395</v>
      </c>
      <c r="E58" s="74" t="s">
        <v>396</v>
      </c>
      <c r="F58" s="65"/>
      <c r="G58" s="66"/>
      <c r="H58" s="100">
        <v>180000</v>
      </c>
      <c r="J58" s="63" t="s">
        <v>458</v>
      </c>
      <c r="K58" s="63" t="s">
        <v>380</v>
      </c>
      <c r="L58" s="63" t="s">
        <v>909</v>
      </c>
      <c r="M58" s="63" t="s">
        <v>395</v>
      </c>
      <c r="N58" s="74" t="s">
        <v>396</v>
      </c>
      <c r="O58" s="65"/>
      <c r="P58" s="66"/>
      <c r="Q58" s="100">
        <v>0</v>
      </c>
      <c r="R58" s="100"/>
      <c r="S58" s="66"/>
      <c r="T58" s="65"/>
    </row>
    <row r="59" spans="1:20" x14ac:dyDescent="0.2">
      <c r="A59" s="63" t="s">
        <v>458</v>
      </c>
      <c r="B59" s="63" t="s">
        <v>417</v>
      </c>
      <c r="C59" s="63"/>
      <c r="D59" s="63"/>
      <c r="E59" s="74" t="s">
        <v>489</v>
      </c>
      <c r="F59" s="65">
        <f>F60</f>
        <v>250000</v>
      </c>
      <c r="G59" s="66">
        <f t="shared" si="0"/>
        <v>1611940</v>
      </c>
      <c r="H59" s="100">
        <f>H60</f>
        <v>1861940</v>
      </c>
      <c r="J59" s="63" t="s">
        <v>458</v>
      </c>
      <c r="K59" s="63" t="s">
        <v>417</v>
      </c>
      <c r="L59" s="63"/>
      <c r="M59" s="63"/>
      <c r="N59" s="74" t="s">
        <v>489</v>
      </c>
      <c r="O59" s="65" t="e">
        <f>#REF!+O60</f>
        <v>#REF!</v>
      </c>
      <c r="P59" s="66" t="e">
        <f t="shared" si="1"/>
        <v>#REF!</v>
      </c>
      <c r="Q59" s="100">
        <f>Q60</f>
        <v>2000000</v>
      </c>
      <c r="R59" s="100">
        <f>R60</f>
        <v>500000</v>
      </c>
      <c r="S59" s="66" t="e">
        <f t="shared" si="2"/>
        <v>#REF!</v>
      </c>
      <c r="T59" s="65" t="e">
        <f>#REF!+T60</f>
        <v>#REF!</v>
      </c>
    </row>
    <row r="60" spans="1:20" ht="21" x14ac:dyDescent="0.2">
      <c r="A60" s="63" t="s">
        <v>458</v>
      </c>
      <c r="B60" s="63" t="s">
        <v>417</v>
      </c>
      <c r="C60" s="63" t="s">
        <v>913</v>
      </c>
      <c r="D60" s="63"/>
      <c r="E60" s="74" t="s">
        <v>686</v>
      </c>
      <c r="F60" s="66">
        <f>F61</f>
        <v>250000</v>
      </c>
      <c r="G60" s="66">
        <f t="shared" si="0"/>
        <v>1611940</v>
      </c>
      <c r="H60" s="99">
        <f>H61</f>
        <v>1861940</v>
      </c>
      <c r="J60" s="63" t="s">
        <v>458</v>
      </c>
      <c r="K60" s="63" t="s">
        <v>417</v>
      </c>
      <c r="L60" s="63" t="s">
        <v>913</v>
      </c>
      <c r="M60" s="63"/>
      <c r="N60" s="74" t="s">
        <v>686</v>
      </c>
      <c r="O60" s="66">
        <f t="shared" ref="O60:T60" si="10">O61</f>
        <v>350000</v>
      </c>
      <c r="P60" s="66">
        <f t="shared" si="1"/>
        <v>1650000</v>
      </c>
      <c r="Q60" s="99">
        <f t="shared" si="10"/>
        <v>2000000</v>
      </c>
      <c r="R60" s="99">
        <f t="shared" si="10"/>
        <v>500000</v>
      </c>
      <c r="S60" s="66">
        <f t="shared" si="2"/>
        <v>-500000</v>
      </c>
      <c r="T60" s="66">
        <f t="shared" si="10"/>
        <v>0</v>
      </c>
    </row>
    <row r="61" spans="1:20" x14ac:dyDescent="0.2">
      <c r="A61" s="63" t="s">
        <v>458</v>
      </c>
      <c r="B61" s="63" t="s">
        <v>417</v>
      </c>
      <c r="C61" s="63" t="s">
        <v>913</v>
      </c>
      <c r="D61" s="63" t="s">
        <v>426</v>
      </c>
      <c r="E61" s="74" t="s">
        <v>435</v>
      </c>
      <c r="F61" s="66">
        <v>250000</v>
      </c>
      <c r="G61" s="66">
        <f t="shared" si="0"/>
        <v>1611940</v>
      </c>
      <c r="H61" s="99">
        <v>1861940</v>
      </c>
      <c r="J61" s="63" t="s">
        <v>458</v>
      </c>
      <c r="K61" s="63" t="s">
        <v>417</v>
      </c>
      <c r="L61" s="63" t="s">
        <v>913</v>
      </c>
      <c r="M61" s="63" t="s">
        <v>426</v>
      </c>
      <c r="N61" s="74" t="s">
        <v>435</v>
      </c>
      <c r="O61" s="66">
        <v>350000</v>
      </c>
      <c r="P61" s="66">
        <f t="shared" si="1"/>
        <v>1650000</v>
      </c>
      <c r="Q61" s="99">
        <v>2000000</v>
      </c>
      <c r="R61" s="99">
        <v>500000</v>
      </c>
      <c r="S61" s="66">
        <f t="shared" si="2"/>
        <v>-500000</v>
      </c>
      <c r="T61" s="66"/>
    </row>
    <row r="62" spans="1:20" ht="21" x14ac:dyDescent="0.2">
      <c r="A62" s="63" t="s">
        <v>458</v>
      </c>
      <c r="B62" s="63" t="s">
        <v>418</v>
      </c>
      <c r="C62" s="63"/>
      <c r="D62" s="63"/>
      <c r="E62" s="74" t="s">
        <v>497</v>
      </c>
      <c r="F62" s="65" t="e">
        <f>+F72+F79+F82+F84+F86+F88+F94+F96+F107+F110+F105+F114+F68+#REF!</f>
        <v>#REF!</v>
      </c>
      <c r="G62" s="66" t="e">
        <f t="shared" si="0"/>
        <v>#REF!</v>
      </c>
      <c r="H62" s="100">
        <f>H72+H79+H82+H84+H86+H88+H94+H96+H107+H110+H105+H114+H68+H64+H98+H100+H103</f>
        <v>4675090</v>
      </c>
      <c r="J62" s="63" t="s">
        <v>458</v>
      </c>
      <c r="K62" s="63" t="s">
        <v>418</v>
      </c>
      <c r="L62" s="63"/>
      <c r="M62" s="63"/>
      <c r="N62" s="74" t="s">
        <v>497</v>
      </c>
      <c r="O62" s="65" t="e">
        <f>#REF!+#REF!+#REF!+#REF!+#REF!+O72+O79+#REF!+O82+O84+O86+O88+#REF!+O94+O96+O107+O110+O105+O114+O68+#REF!</f>
        <v>#REF!</v>
      </c>
      <c r="P62" s="66" t="e">
        <f t="shared" si="1"/>
        <v>#REF!</v>
      </c>
      <c r="Q62" s="100">
        <f>Q72+Q79+Q82+Q84+Q86+Q88+Q94+Q96+Q107+Q110+Q105+Q114+Q68+Q64+Q98+Q100+Q103</f>
        <v>4629990</v>
      </c>
      <c r="R62" s="100">
        <f>R72+R79+R82+R84+R86+R88+R94+R96+R107+R110+R105+R114+R68+R64+R98+R100+R103</f>
        <v>3706180</v>
      </c>
      <c r="S62" s="66" t="e">
        <f t="shared" si="2"/>
        <v>#REF!</v>
      </c>
      <c r="T62" s="65" t="e">
        <f>#REF!+#REF!+#REF!+#REF!+#REF!+T72+T79+#REF!+T82+T84+T86+T88+#REF!+T94+T96+T107+T110+T105+T114+T68+#REF!</f>
        <v>#REF!</v>
      </c>
    </row>
    <row r="63" spans="1:20" ht="70.5" customHeight="1" x14ac:dyDescent="0.2">
      <c r="A63" s="63" t="s">
        <v>458</v>
      </c>
      <c r="B63" s="63" t="s">
        <v>418</v>
      </c>
      <c r="C63" s="63" t="s">
        <v>773</v>
      </c>
      <c r="D63" s="63"/>
      <c r="E63" s="74" t="s">
        <v>942</v>
      </c>
      <c r="F63" s="65"/>
      <c r="G63" s="66"/>
      <c r="H63" s="100">
        <f>H64</f>
        <v>10000</v>
      </c>
      <c r="J63" s="63" t="s">
        <v>458</v>
      </c>
      <c r="K63" s="63" t="s">
        <v>418</v>
      </c>
      <c r="L63" s="63" t="s">
        <v>773</v>
      </c>
      <c r="M63" s="63"/>
      <c r="N63" s="74" t="s">
        <v>942</v>
      </c>
      <c r="O63" s="65"/>
      <c r="P63" s="66"/>
      <c r="Q63" s="100">
        <f>Q64</f>
        <v>0</v>
      </c>
      <c r="R63" s="100">
        <f>R64</f>
        <v>0</v>
      </c>
      <c r="S63" s="66"/>
      <c r="T63" s="65"/>
    </row>
    <row r="64" spans="1:20" ht="31.5" customHeight="1" x14ac:dyDescent="0.2">
      <c r="A64" s="63" t="s">
        <v>458</v>
      </c>
      <c r="B64" s="63" t="s">
        <v>418</v>
      </c>
      <c r="C64" s="63" t="s">
        <v>775</v>
      </c>
      <c r="D64" s="63"/>
      <c r="E64" s="74" t="s">
        <v>943</v>
      </c>
      <c r="F64" s="65"/>
      <c r="G64" s="66"/>
      <c r="H64" s="100">
        <f>H65+H66</f>
        <v>10000</v>
      </c>
      <c r="J64" s="63" t="s">
        <v>458</v>
      </c>
      <c r="K64" s="63" t="s">
        <v>418</v>
      </c>
      <c r="L64" s="63" t="s">
        <v>775</v>
      </c>
      <c r="M64" s="63"/>
      <c r="N64" s="74" t="s">
        <v>943</v>
      </c>
      <c r="O64" s="65"/>
      <c r="P64" s="66"/>
      <c r="Q64" s="100">
        <f>Q65+Q66</f>
        <v>0</v>
      </c>
      <c r="R64" s="100">
        <f>R65+R66</f>
        <v>0</v>
      </c>
      <c r="S64" s="66"/>
      <c r="T64" s="65"/>
    </row>
    <row r="65" spans="1:20" ht="31.5" x14ac:dyDescent="0.2">
      <c r="A65" s="63" t="s">
        <v>458</v>
      </c>
      <c r="B65" s="63" t="s">
        <v>418</v>
      </c>
      <c r="C65" s="63" t="s">
        <v>775</v>
      </c>
      <c r="D65" s="63" t="s">
        <v>427</v>
      </c>
      <c r="E65" s="74" t="s">
        <v>433</v>
      </c>
      <c r="F65" s="65"/>
      <c r="G65" s="66"/>
      <c r="H65" s="100">
        <f>10000</f>
        <v>10000</v>
      </c>
      <c r="J65" s="63" t="s">
        <v>458</v>
      </c>
      <c r="K65" s="63" t="s">
        <v>418</v>
      </c>
      <c r="L65" s="63" t="s">
        <v>775</v>
      </c>
      <c r="M65" s="63" t="s">
        <v>427</v>
      </c>
      <c r="N65" s="74" t="s">
        <v>433</v>
      </c>
      <c r="O65" s="65"/>
      <c r="P65" s="66"/>
      <c r="Q65" s="100">
        <v>0</v>
      </c>
      <c r="R65" s="100"/>
      <c r="S65" s="66"/>
      <c r="T65" s="65"/>
    </row>
    <row r="66" spans="1:20" ht="31.5" x14ac:dyDescent="0.2">
      <c r="A66" s="63" t="s">
        <v>458</v>
      </c>
      <c r="B66" s="63" t="s">
        <v>418</v>
      </c>
      <c r="C66" s="63" t="s">
        <v>775</v>
      </c>
      <c r="D66" s="63" t="s">
        <v>423</v>
      </c>
      <c r="E66" s="74" t="s">
        <v>434</v>
      </c>
      <c r="F66" s="65"/>
      <c r="G66" s="66"/>
      <c r="H66" s="100">
        <v>0</v>
      </c>
      <c r="J66" s="63" t="s">
        <v>458</v>
      </c>
      <c r="K66" s="63" t="s">
        <v>418</v>
      </c>
      <c r="L66" s="63" t="s">
        <v>775</v>
      </c>
      <c r="M66" s="63" t="s">
        <v>423</v>
      </c>
      <c r="N66" s="74" t="s">
        <v>434</v>
      </c>
      <c r="O66" s="65"/>
      <c r="P66" s="66"/>
      <c r="Q66" s="100"/>
      <c r="R66" s="100"/>
      <c r="S66" s="66"/>
      <c r="T66" s="65"/>
    </row>
    <row r="67" spans="1:20" ht="90.75" customHeight="1" x14ac:dyDescent="0.2">
      <c r="A67" s="63" t="s">
        <v>458</v>
      </c>
      <c r="B67" s="63" t="s">
        <v>418</v>
      </c>
      <c r="C67" s="63" t="s">
        <v>778</v>
      </c>
      <c r="D67" s="63"/>
      <c r="E67" s="74" t="s">
        <v>779</v>
      </c>
      <c r="F67" s="65">
        <f>F68</f>
        <v>0</v>
      </c>
      <c r="G67" s="66">
        <f t="shared" ref="G67:G130" si="11">H67-F67</f>
        <v>105000</v>
      </c>
      <c r="H67" s="100">
        <f>H68</f>
        <v>105000</v>
      </c>
      <c r="J67" s="63" t="s">
        <v>458</v>
      </c>
      <c r="K67" s="63" t="s">
        <v>418</v>
      </c>
      <c r="L67" s="63" t="s">
        <v>778</v>
      </c>
      <c r="M67" s="63"/>
      <c r="N67" s="74" t="s">
        <v>779</v>
      </c>
      <c r="O67" s="65">
        <f t="shared" ref="O67:T67" si="12">O68</f>
        <v>0</v>
      </c>
      <c r="P67" s="66">
        <f t="shared" ref="P67:P130" si="13">Q67-O67</f>
        <v>135000</v>
      </c>
      <c r="Q67" s="100">
        <f t="shared" si="12"/>
        <v>135000</v>
      </c>
      <c r="R67" s="100">
        <f t="shared" si="12"/>
        <v>0</v>
      </c>
      <c r="S67" s="66">
        <f t="shared" ref="S67:S130" si="14">T67-R67</f>
        <v>0</v>
      </c>
      <c r="T67" s="65">
        <f t="shared" si="12"/>
        <v>0</v>
      </c>
    </row>
    <row r="68" spans="1:20" ht="93.75" customHeight="1" x14ac:dyDescent="0.2">
      <c r="A68" s="63" t="s">
        <v>458</v>
      </c>
      <c r="B68" s="63" t="s">
        <v>418</v>
      </c>
      <c r="C68" s="63" t="s">
        <v>780</v>
      </c>
      <c r="D68" s="63"/>
      <c r="E68" s="74" t="s">
        <v>781</v>
      </c>
      <c r="F68" s="65">
        <f>F69+F70</f>
        <v>0</v>
      </c>
      <c r="G68" s="66">
        <f t="shared" si="11"/>
        <v>105000</v>
      </c>
      <c r="H68" s="100">
        <f>H69+H70</f>
        <v>105000</v>
      </c>
      <c r="J68" s="63" t="s">
        <v>458</v>
      </c>
      <c r="K68" s="63" t="s">
        <v>418</v>
      </c>
      <c r="L68" s="63" t="s">
        <v>780</v>
      </c>
      <c r="M68" s="63"/>
      <c r="N68" s="74" t="s">
        <v>781</v>
      </c>
      <c r="O68" s="65">
        <f t="shared" ref="O68:T68" si="15">O69+O70</f>
        <v>0</v>
      </c>
      <c r="P68" s="66">
        <f t="shared" si="13"/>
        <v>135000</v>
      </c>
      <c r="Q68" s="100">
        <f t="shared" si="15"/>
        <v>135000</v>
      </c>
      <c r="R68" s="100">
        <f t="shared" si="15"/>
        <v>0</v>
      </c>
      <c r="S68" s="66">
        <f t="shared" si="14"/>
        <v>0</v>
      </c>
      <c r="T68" s="65">
        <f t="shared" si="15"/>
        <v>0</v>
      </c>
    </row>
    <row r="69" spans="1:20" ht="31.5" x14ac:dyDescent="0.2">
      <c r="A69" s="63" t="s">
        <v>458</v>
      </c>
      <c r="B69" s="63" t="s">
        <v>418</v>
      </c>
      <c r="C69" s="63" t="s">
        <v>780</v>
      </c>
      <c r="D69" s="63" t="s">
        <v>427</v>
      </c>
      <c r="E69" s="74" t="s">
        <v>433</v>
      </c>
      <c r="F69" s="65">
        <v>0</v>
      </c>
      <c r="G69" s="66">
        <f t="shared" si="11"/>
        <v>5000</v>
      </c>
      <c r="H69" s="100">
        <v>5000</v>
      </c>
      <c r="J69" s="63" t="s">
        <v>458</v>
      </c>
      <c r="K69" s="63" t="s">
        <v>418</v>
      </c>
      <c r="L69" s="63" t="s">
        <v>780</v>
      </c>
      <c r="M69" s="63" t="s">
        <v>427</v>
      </c>
      <c r="N69" s="74" t="s">
        <v>433</v>
      </c>
      <c r="O69" s="65">
        <v>0</v>
      </c>
      <c r="P69" s="66">
        <f t="shared" si="13"/>
        <v>5000</v>
      </c>
      <c r="Q69" s="100">
        <v>5000</v>
      </c>
      <c r="R69" s="100">
        <v>0</v>
      </c>
      <c r="S69" s="66">
        <f t="shared" si="14"/>
        <v>0</v>
      </c>
      <c r="T69" s="65">
        <v>0</v>
      </c>
    </row>
    <row r="70" spans="1:20" ht="31.5" x14ac:dyDescent="0.2">
      <c r="A70" s="63" t="s">
        <v>458</v>
      </c>
      <c r="B70" s="63" t="s">
        <v>418</v>
      </c>
      <c r="C70" s="63" t="s">
        <v>780</v>
      </c>
      <c r="D70" s="63" t="s">
        <v>423</v>
      </c>
      <c r="E70" s="74" t="s">
        <v>434</v>
      </c>
      <c r="F70" s="65">
        <v>0</v>
      </c>
      <c r="G70" s="66">
        <f t="shared" si="11"/>
        <v>100000</v>
      </c>
      <c r="H70" s="100">
        <v>100000</v>
      </c>
      <c r="J70" s="63" t="s">
        <v>458</v>
      </c>
      <c r="K70" s="63" t="s">
        <v>418</v>
      </c>
      <c r="L70" s="63" t="s">
        <v>780</v>
      </c>
      <c r="M70" s="63" t="s">
        <v>423</v>
      </c>
      <c r="N70" s="74" t="s">
        <v>434</v>
      </c>
      <c r="O70" s="65">
        <v>0</v>
      </c>
      <c r="P70" s="66">
        <f t="shared" si="13"/>
        <v>130000</v>
      </c>
      <c r="Q70" s="100">
        <v>130000</v>
      </c>
      <c r="R70" s="100">
        <v>0</v>
      </c>
      <c r="S70" s="66">
        <f t="shared" si="14"/>
        <v>0</v>
      </c>
      <c r="T70" s="65">
        <v>0</v>
      </c>
    </row>
    <row r="71" spans="1:20" ht="71.25" customHeight="1" x14ac:dyDescent="0.2">
      <c r="A71" s="63" t="s">
        <v>458</v>
      </c>
      <c r="B71" s="63" t="s">
        <v>418</v>
      </c>
      <c r="C71" s="63" t="s">
        <v>782</v>
      </c>
      <c r="D71" s="63"/>
      <c r="E71" s="74" t="s">
        <v>783</v>
      </c>
      <c r="F71" s="66">
        <f>F72</f>
        <v>1977811</v>
      </c>
      <c r="G71" s="66">
        <f t="shared" si="11"/>
        <v>-205031</v>
      </c>
      <c r="H71" s="99">
        <f>H72</f>
        <v>1772780</v>
      </c>
      <c r="J71" s="63" t="s">
        <v>458</v>
      </c>
      <c r="K71" s="63" t="s">
        <v>418</v>
      </c>
      <c r="L71" s="63" t="s">
        <v>782</v>
      </c>
      <c r="M71" s="63"/>
      <c r="N71" s="74" t="s">
        <v>783</v>
      </c>
      <c r="O71" s="66">
        <f t="shared" ref="O71:T71" si="16">O72</f>
        <v>1977811</v>
      </c>
      <c r="P71" s="66">
        <f t="shared" si="13"/>
        <v>-205031</v>
      </c>
      <c r="Q71" s="99">
        <f t="shared" si="16"/>
        <v>1772780</v>
      </c>
      <c r="R71" s="99">
        <f t="shared" si="16"/>
        <v>1611280</v>
      </c>
      <c r="S71" s="66">
        <f t="shared" si="14"/>
        <v>-1611280</v>
      </c>
      <c r="T71" s="66">
        <f t="shared" si="16"/>
        <v>0</v>
      </c>
    </row>
    <row r="72" spans="1:20" ht="62.25" customHeight="1" x14ac:dyDescent="0.2">
      <c r="A72" s="63" t="s">
        <v>458</v>
      </c>
      <c r="B72" s="63" t="s">
        <v>418</v>
      </c>
      <c r="C72" s="63" t="s">
        <v>784</v>
      </c>
      <c r="D72" s="63"/>
      <c r="E72" s="74" t="s">
        <v>785</v>
      </c>
      <c r="F72" s="65">
        <f>F73+F74+F75+F76+F77+F78</f>
        <v>1977811</v>
      </c>
      <c r="G72" s="66">
        <f t="shared" si="11"/>
        <v>-205031</v>
      </c>
      <c r="H72" s="100">
        <f>H73+H74+H75+H76+H77+H78</f>
        <v>1772780</v>
      </c>
      <c r="J72" s="63" t="s">
        <v>458</v>
      </c>
      <c r="K72" s="63" t="s">
        <v>418</v>
      </c>
      <c r="L72" s="63" t="s">
        <v>784</v>
      </c>
      <c r="M72" s="63"/>
      <c r="N72" s="74" t="s">
        <v>785</v>
      </c>
      <c r="O72" s="65">
        <f t="shared" ref="O72:T72" si="17">O73+O74+O75+O76+O77+O78</f>
        <v>1977811</v>
      </c>
      <c r="P72" s="66">
        <f t="shared" si="13"/>
        <v>-205031</v>
      </c>
      <c r="Q72" s="100">
        <f>Q73+Q74+Q75+Q76+Q77+Q78</f>
        <v>1772780</v>
      </c>
      <c r="R72" s="100">
        <f t="shared" si="17"/>
        <v>1611280</v>
      </c>
      <c r="S72" s="66">
        <f t="shared" si="14"/>
        <v>-1611280</v>
      </c>
      <c r="T72" s="65">
        <f t="shared" si="17"/>
        <v>0</v>
      </c>
    </row>
    <row r="73" spans="1:20" ht="21" x14ac:dyDescent="0.2">
      <c r="A73" s="63" t="s">
        <v>458</v>
      </c>
      <c r="B73" s="63" t="s">
        <v>418</v>
      </c>
      <c r="C73" s="63" t="s">
        <v>784</v>
      </c>
      <c r="D73" s="63" t="s">
        <v>441</v>
      </c>
      <c r="E73" s="74" t="s">
        <v>431</v>
      </c>
      <c r="F73" s="65">
        <v>1974434</v>
      </c>
      <c r="G73" s="66">
        <f t="shared" si="11"/>
        <v>-366534</v>
      </c>
      <c r="H73" s="100">
        <f>1235000+372900</f>
        <v>1607900</v>
      </c>
      <c r="J73" s="63" t="s">
        <v>458</v>
      </c>
      <c r="K73" s="63" t="s">
        <v>418</v>
      </c>
      <c r="L73" s="63" t="s">
        <v>784</v>
      </c>
      <c r="M73" s="63" t="s">
        <v>441</v>
      </c>
      <c r="N73" s="74" t="s">
        <v>431</v>
      </c>
      <c r="O73" s="65">
        <v>1974434</v>
      </c>
      <c r="P73" s="66">
        <f t="shared" si="13"/>
        <v>-366534</v>
      </c>
      <c r="Q73" s="100">
        <f>1235000+372900</f>
        <v>1607900</v>
      </c>
      <c r="R73" s="100">
        <f>1235000+372900</f>
        <v>1607900</v>
      </c>
      <c r="S73" s="66">
        <f t="shared" si="14"/>
        <v>-1607900</v>
      </c>
      <c r="T73" s="65"/>
    </row>
    <row r="74" spans="1:20" ht="31.5" x14ac:dyDescent="0.2">
      <c r="A74" s="63" t="s">
        <v>458</v>
      </c>
      <c r="B74" s="63" t="s">
        <v>418</v>
      </c>
      <c r="C74" s="63" t="s">
        <v>784</v>
      </c>
      <c r="D74" s="63" t="s">
        <v>442</v>
      </c>
      <c r="E74" s="74" t="s">
        <v>432</v>
      </c>
      <c r="F74" s="65">
        <v>0</v>
      </c>
      <c r="G74" s="66">
        <f t="shared" si="11"/>
        <v>15000</v>
      </c>
      <c r="H74" s="100">
        <f>4000+1000+10000</f>
        <v>15000</v>
      </c>
      <c r="J74" s="63" t="s">
        <v>458</v>
      </c>
      <c r="K74" s="63" t="s">
        <v>418</v>
      </c>
      <c r="L74" s="63" t="s">
        <v>784</v>
      </c>
      <c r="M74" s="63" t="s">
        <v>442</v>
      </c>
      <c r="N74" s="74" t="s">
        <v>432</v>
      </c>
      <c r="O74" s="65">
        <v>0</v>
      </c>
      <c r="P74" s="66">
        <f t="shared" si="13"/>
        <v>15000</v>
      </c>
      <c r="Q74" s="100">
        <f>4000+1000+10000</f>
        <v>15000</v>
      </c>
      <c r="R74" s="100">
        <v>0</v>
      </c>
      <c r="S74" s="66">
        <f t="shared" si="14"/>
        <v>0</v>
      </c>
      <c r="T74" s="65">
        <v>0</v>
      </c>
    </row>
    <row r="75" spans="1:20" ht="31.5" x14ac:dyDescent="0.2">
      <c r="A75" s="63" t="s">
        <v>458</v>
      </c>
      <c r="B75" s="63" t="s">
        <v>418</v>
      </c>
      <c r="C75" s="63" t="s">
        <v>784</v>
      </c>
      <c r="D75" s="63" t="s">
        <v>427</v>
      </c>
      <c r="E75" s="74" t="s">
        <v>433</v>
      </c>
      <c r="F75" s="65">
        <v>0</v>
      </c>
      <c r="G75" s="66">
        <f t="shared" si="11"/>
        <v>76000</v>
      </c>
      <c r="H75" s="100">
        <f>40000+4000+30000+2000</f>
        <v>76000</v>
      </c>
      <c r="J75" s="63" t="s">
        <v>458</v>
      </c>
      <c r="K75" s="63" t="s">
        <v>418</v>
      </c>
      <c r="L75" s="63" t="s">
        <v>784</v>
      </c>
      <c r="M75" s="63" t="s">
        <v>427</v>
      </c>
      <c r="N75" s="74" t="s">
        <v>433</v>
      </c>
      <c r="O75" s="65">
        <v>0</v>
      </c>
      <c r="P75" s="66">
        <f t="shared" si="13"/>
        <v>76000</v>
      </c>
      <c r="Q75" s="100">
        <f>40000+4000+30000+2000</f>
        <v>76000</v>
      </c>
      <c r="R75" s="100">
        <v>0</v>
      </c>
      <c r="S75" s="66">
        <f t="shared" si="14"/>
        <v>0</v>
      </c>
      <c r="T75" s="65">
        <v>0</v>
      </c>
    </row>
    <row r="76" spans="1:20" ht="31.5" x14ac:dyDescent="0.2">
      <c r="A76" s="63" t="s">
        <v>458</v>
      </c>
      <c r="B76" s="63" t="s">
        <v>418</v>
      </c>
      <c r="C76" s="63" t="s">
        <v>784</v>
      </c>
      <c r="D76" s="63" t="s">
        <v>423</v>
      </c>
      <c r="E76" s="74" t="s">
        <v>434</v>
      </c>
      <c r="F76" s="65">
        <v>0</v>
      </c>
      <c r="G76" s="66">
        <f t="shared" si="11"/>
        <v>70500</v>
      </c>
      <c r="H76" s="100">
        <f>500+70000</f>
        <v>70500</v>
      </c>
      <c r="J76" s="63" t="s">
        <v>458</v>
      </c>
      <c r="K76" s="63" t="s">
        <v>418</v>
      </c>
      <c r="L76" s="63" t="s">
        <v>784</v>
      </c>
      <c r="M76" s="63" t="s">
        <v>423</v>
      </c>
      <c r="N76" s="74" t="s">
        <v>434</v>
      </c>
      <c r="O76" s="65">
        <v>0</v>
      </c>
      <c r="P76" s="66">
        <f t="shared" si="13"/>
        <v>70500</v>
      </c>
      <c r="Q76" s="100">
        <f>500+70000</f>
        <v>70500</v>
      </c>
      <c r="R76" s="100">
        <v>0</v>
      </c>
      <c r="S76" s="66">
        <f t="shared" si="14"/>
        <v>0</v>
      </c>
      <c r="T76" s="65">
        <v>0</v>
      </c>
    </row>
    <row r="77" spans="1:20" ht="31.5" x14ac:dyDescent="0.2">
      <c r="A77" s="63" t="s">
        <v>458</v>
      </c>
      <c r="B77" s="63" t="s">
        <v>418</v>
      </c>
      <c r="C77" s="63" t="s">
        <v>784</v>
      </c>
      <c r="D77" s="63" t="s">
        <v>330</v>
      </c>
      <c r="E77" s="74" t="s">
        <v>393</v>
      </c>
      <c r="F77" s="65">
        <v>2397</v>
      </c>
      <c r="G77" s="66">
        <f t="shared" si="11"/>
        <v>3</v>
      </c>
      <c r="H77" s="100">
        <v>2400</v>
      </c>
      <c r="J77" s="63" t="s">
        <v>458</v>
      </c>
      <c r="K77" s="63" t="s">
        <v>418</v>
      </c>
      <c r="L77" s="63" t="s">
        <v>784</v>
      </c>
      <c r="M77" s="63" t="s">
        <v>330</v>
      </c>
      <c r="N77" s="74" t="s">
        <v>393</v>
      </c>
      <c r="O77" s="65">
        <v>2397</v>
      </c>
      <c r="P77" s="66">
        <f t="shared" si="13"/>
        <v>3</v>
      </c>
      <c r="Q77" s="100">
        <v>2400</v>
      </c>
      <c r="R77" s="100">
        <v>2400</v>
      </c>
      <c r="S77" s="66">
        <f t="shared" si="14"/>
        <v>-2400</v>
      </c>
      <c r="T77" s="65"/>
    </row>
    <row r="78" spans="1:20" ht="20.25" customHeight="1" x14ac:dyDescent="0.2">
      <c r="A78" s="63" t="s">
        <v>458</v>
      </c>
      <c r="B78" s="63" t="s">
        <v>418</v>
      </c>
      <c r="C78" s="63" t="s">
        <v>784</v>
      </c>
      <c r="D78" s="63" t="s">
        <v>249</v>
      </c>
      <c r="E78" s="74" t="s">
        <v>954</v>
      </c>
      <c r="F78" s="65">
        <v>980</v>
      </c>
      <c r="G78" s="66">
        <f t="shared" si="11"/>
        <v>0</v>
      </c>
      <c r="H78" s="100">
        <v>980</v>
      </c>
      <c r="J78" s="63" t="s">
        <v>458</v>
      </c>
      <c r="K78" s="63" t="s">
        <v>418</v>
      </c>
      <c r="L78" s="63" t="s">
        <v>784</v>
      </c>
      <c r="M78" s="63" t="s">
        <v>249</v>
      </c>
      <c r="N78" s="74" t="s">
        <v>954</v>
      </c>
      <c r="O78" s="65">
        <v>980</v>
      </c>
      <c r="P78" s="66">
        <f t="shared" si="13"/>
        <v>0</v>
      </c>
      <c r="Q78" s="100">
        <v>980</v>
      </c>
      <c r="R78" s="100">
        <v>980</v>
      </c>
      <c r="S78" s="66">
        <f t="shared" si="14"/>
        <v>-980</v>
      </c>
      <c r="T78" s="65"/>
    </row>
    <row r="79" spans="1:20" ht="65.25" customHeight="1" x14ac:dyDescent="0.2">
      <c r="A79" s="63" t="s">
        <v>458</v>
      </c>
      <c r="B79" s="63" t="s">
        <v>418</v>
      </c>
      <c r="C79" s="63" t="s">
        <v>786</v>
      </c>
      <c r="D79" s="63"/>
      <c r="E79" s="74" t="s">
        <v>787</v>
      </c>
      <c r="F79" s="65">
        <f>F80</f>
        <v>0</v>
      </c>
      <c r="G79" s="66">
        <f t="shared" si="11"/>
        <v>433400</v>
      </c>
      <c r="H79" s="100">
        <f>H80</f>
        <v>433400</v>
      </c>
      <c r="J79" s="63" t="s">
        <v>458</v>
      </c>
      <c r="K79" s="63" t="s">
        <v>418</v>
      </c>
      <c r="L79" s="63" t="s">
        <v>786</v>
      </c>
      <c r="M79" s="63"/>
      <c r="N79" s="74" t="s">
        <v>787</v>
      </c>
      <c r="O79" s="65">
        <f>O80</f>
        <v>0</v>
      </c>
      <c r="P79" s="66">
        <f t="shared" si="13"/>
        <v>433400</v>
      </c>
      <c r="Q79" s="100">
        <f>Q80</f>
        <v>433400</v>
      </c>
      <c r="R79" s="100">
        <f>R80</f>
        <v>433400</v>
      </c>
      <c r="S79" s="66">
        <f t="shared" si="14"/>
        <v>-433400</v>
      </c>
      <c r="T79" s="65">
        <f>T80</f>
        <v>0</v>
      </c>
    </row>
    <row r="80" spans="1:20" ht="31.5" x14ac:dyDescent="0.2">
      <c r="A80" s="63" t="s">
        <v>458</v>
      </c>
      <c r="B80" s="63" t="s">
        <v>418</v>
      </c>
      <c r="C80" s="63" t="s">
        <v>786</v>
      </c>
      <c r="D80" s="63" t="s">
        <v>423</v>
      </c>
      <c r="E80" s="74" t="s">
        <v>434</v>
      </c>
      <c r="F80" s="65">
        <v>0</v>
      </c>
      <c r="G80" s="66">
        <f t="shared" si="11"/>
        <v>433400</v>
      </c>
      <c r="H80" s="100">
        <v>433400</v>
      </c>
      <c r="J80" s="63" t="s">
        <v>458</v>
      </c>
      <c r="K80" s="63" t="s">
        <v>418</v>
      </c>
      <c r="L80" s="63" t="s">
        <v>786</v>
      </c>
      <c r="M80" s="63" t="s">
        <v>423</v>
      </c>
      <c r="N80" s="74" t="s">
        <v>434</v>
      </c>
      <c r="O80" s="65">
        <v>0</v>
      </c>
      <c r="P80" s="66">
        <f t="shared" si="13"/>
        <v>433400</v>
      </c>
      <c r="Q80" s="100">
        <v>433400</v>
      </c>
      <c r="R80" s="100">
        <v>433400</v>
      </c>
      <c r="S80" s="66">
        <f t="shared" si="14"/>
        <v>-433400</v>
      </c>
      <c r="T80" s="65">
        <v>0</v>
      </c>
    </row>
    <row r="81" spans="1:20" ht="75.75" customHeight="1" x14ac:dyDescent="0.2">
      <c r="A81" s="63" t="s">
        <v>458</v>
      </c>
      <c r="B81" s="63" t="s">
        <v>418</v>
      </c>
      <c r="C81" s="63" t="s">
        <v>788</v>
      </c>
      <c r="D81" s="63"/>
      <c r="E81" s="74" t="s">
        <v>789</v>
      </c>
      <c r="F81" s="65">
        <f>F82+F84+F86</f>
        <v>0</v>
      </c>
      <c r="G81" s="66">
        <f t="shared" si="11"/>
        <v>188160</v>
      </c>
      <c r="H81" s="100">
        <f>H82+H84+H86</f>
        <v>188160</v>
      </c>
      <c r="J81" s="63" t="s">
        <v>458</v>
      </c>
      <c r="K81" s="63" t="s">
        <v>418</v>
      </c>
      <c r="L81" s="63" t="s">
        <v>788</v>
      </c>
      <c r="M81" s="63"/>
      <c r="N81" s="74" t="s">
        <v>789</v>
      </c>
      <c r="O81" s="65">
        <f t="shared" ref="O81:T81" si="18">O82+O84+O86</f>
        <v>0</v>
      </c>
      <c r="P81" s="66">
        <f t="shared" si="13"/>
        <v>188160</v>
      </c>
      <c r="Q81" s="100">
        <f t="shared" si="18"/>
        <v>188160</v>
      </c>
      <c r="R81" s="100">
        <f t="shared" si="18"/>
        <v>0</v>
      </c>
      <c r="S81" s="66">
        <f t="shared" si="14"/>
        <v>0</v>
      </c>
      <c r="T81" s="65">
        <f t="shared" si="18"/>
        <v>0</v>
      </c>
    </row>
    <row r="82" spans="1:20" ht="102" customHeight="1" x14ac:dyDescent="0.2">
      <c r="A82" s="63" t="s">
        <v>458</v>
      </c>
      <c r="B82" s="63" t="s">
        <v>418</v>
      </c>
      <c r="C82" s="63" t="s">
        <v>721</v>
      </c>
      <c r="D82" s="63"/>
      <c r="E82" s="74" t="s">
        <v>688</v>
      </c>
      <c r="F82" s="65">
        <f>F83</f>
        <v>0</v>
      </c>
      <c r="G82" s="66">
        <f t="shared" si="11"/>
        <v>80000</v>
      </c>
      <c r="H82" s="100">
        <f>H83</f>
        <v>80000</v>
      </c>
      <c r="J82" s="63" t="s">
        <v>458</v>
      </c>
      <c r="K82" s="63" t="s">
        <v>418</v>
      </c>
      <c r="L82" s="63" t="s">
        <v>721</v>
      </c>
      <c r="M82" s="63"/>
      <c r="N82" s="74" t="s">
        <v>688</v>
      </c>
      <c r="O82" s="65">
        <f t="shared" ref="O82:T82" si="19">O83</f>
        <v>0</v>
      </c>
      <c r="P82" s="66">
        <f t="shared" si="13"/>
        <v>80000</v>
      </c>
      <c r="Q82" s="100">
        <f t="shared" si="19"/>
        <v>80000</v>
      </c>
      <c r="R82" s="100">
        <f t="shared" si="19"/>
        <v>0</v>
      </c>
      <c r="S82" s="66">
        <f t="shared" si="14"/>
        <v>0</v>
      </c>
      <c r="T82" s="65">
        <f t="shared" si="19"/>
        <v>0</v>
      </c>
    </row>
    <row r="83" spans="1:20" ht="31.5" x14ac:dyDescent="0.2">
      <c r="A83" s="63" t="s">
        <v>458</v>
      </c>
      <c r="B83" s="63" t="s">
        <v>418</v>
      </c>
      <c r="C83" s="63" t="s">
        <v>721</v>
      </c>
      <c r="D83" s="63" t="s">
        <v>423</v>
      </c>
      <c r="E83" s="74" t="s">
        <v>434</v>
      </c>
      <c r="F83" s="65">
        <v>0</v>
      </c>
      <c r="G83" s="66">
        <f t="shared" si="11"/>
        <v>80000</v>
      </c>
      <c r="H83" s="100">
        <f>70000+10000</f>
        <v>80000</v>
      </c>
      <c r="J83" s="63" t="s">
        <v>458</v>
      </c>
      <c r="K83" s="63" t="s">
        <v>418</v>
      </c>
      <c r="L83" s="63" t="s">
        <v>721</v>
      </c>
      <c r="M83" s="63" t="s">
        <v>423</v>
      </c>
      <c r="N83" s="74" t="s">
        <v>434</v>
      </c>
      <c r="O83" s="65">
        <v>0</v>
      </c>
      <c r="P83" s="66">
        <f t="shared" si="13"/>
        <v>80000</v>
      </c>
      <c r="Q83" s="100">
        <f>70000+10000</f>
        <v>80000</v>
      </c>
      <c r="R83" s="100">
        <v>0</v>
      </c>
      <c r="S83" s="66">
        <f t="shared" si="14"/>
        <v>0</v>
      </c>
      <c r="T83" s="65">
        <v>0</v>
      </c>
    </row>
    <row r="84" spans="1:20" ht="75" customHeight="1" x14ac:dyDescent="0.2">
      <c r="A84" s="63" t="s">
        <v>458</v>
      </c>
      <c r="B84" s="63" t="s">
        <v>418</v>
      </c>
      <c r="C84" s="63" t="s">
        <v>723</v>
      </c>
      <c r="D84" s="63"/>
      <c r="E84" s="74" t="s">
        <v>689</v>
      </c>
      <c r="F84" s="65">
        <f>F85</f>
        <v>0</v>
      </c>
      <c r="G84" s="66">
        <f t="shared" si="11"/>
        <v>90160</v>
      </c>
      <c r="H84" s="100">
        <f>H85</f>
        <v>90160</v>
      </c>
      <c r="J84" s="63" t="s">
        <v>458</v>
      </c>
      <c r="K84" s="63" t="s">
        <v>418</v>
      </c>
      <c r="L84" s="63" t="s">
        <v>723</v>
      </c>
      <c r="M84" s="63"/>
      <c r="N84" s="74" t="s">
        <v>689</v>
      </c>
      <c r="O84" s="65">
        <f>O85</f>
        <v>0</v>
      </c>
      <c r="P84" s="66">
        <f t="shared" si="13"/>
        <v>90160</v>
      </c>
      <c r="Q84" s="100">
        <f>Q85</f>
        <v>90160</v>
      </c>
      <c r="R84" s="100">
        <f>R85</f>
        <v>0</v>
      </c>
      <c r="S84" s="66">
        <f t="shared" si="14"/>
        <v>0</v>
      </c>
      <c r="T84" s="65">
        <f>T85</f>
        <v>0</v>
      </c>
    </row>
    <row r="85" spans="1:20" ht="31.5" x14ac:dyDescent="0.2">
      <c r="A85" s="63" t="s">
        <v>458</v>
      </c>
      <c r="B85" s="63" t="s">
        <v>418</v>
      </c>
      <c r="C85" s="63" t="s">
        <v>723</v>
      </c>
      <c r="D85" s="63" t="s">
        <v>423</v>
      </c>
      <c r="E85" s="74" t="s">
        <v>434</v>
      </c>
      <c r="F85" s="65">
        <v>0</v>
      </c>
      <c r="G85" s="66">
        <f t="shared" si="11"/>
        <v>90160</v>
      </c>
      <c r="H85" s="100">
        <f>160+40000+30000+20000</f>
        <v>90160</v>
      </c>
      <c r="J85" s="63" t="s">
        <v>458</v>
      </c>
      <c r="K85" s="63" t="s">
        <v>418</v>
      </c>
      <c r="L85" s="63" t="s">
        <v>723</v>
      </c>
      <c r="M85" s="63" t="s">
        <v>423</v>
      </c>
      <c r="N85" s="74" t="s">
        <v>434</v>
      </c>
      <c r="O85" s="65">
        <v>0</v>
      </c>
      <c r="P85" s="66">
        <f t="shared" si="13"/>
        <v>90160</v>
      </c>
      <c r="Q85" s="100">
        <f>160+40000+30000+20000</f>
        <v>90160</v>
      </c>
      <c r="R85" s="100">
        <v>0</v>
      </c>
      <c r="S85" s="66">
        <f t="shared" si="14"/>
        <v>0</v>
      </c>
      <c r="T85" s="65">
        <v>0</v>
      </c>
    </row>
    <row r="86" spans="1:20" ht="75" customHeight="1" x14ac:dyDescent="0.2">
      <c r="A86" s="63" t="s">
        <v>458</v>
      </c>
      <c r="B86" s="63" t="s">
        <v>418</v>
      </c>
      <c r="C86" s="63" t="s">
        <v>790</v>
      </c>
      <c r="D86" s="63"/>
      <c r="E86" s="74" t="s">
        <v>690</v>
      </c>
      <c r="F86" s="65">
        <f>F87</f>
        <v>0</v>
      </c>
      <c r="G86" s="66">
        <f t="shared" si="11"/>
        <v>18000</v>
      </c>
      <c r="H86" s="100">
        <f>H87</f>
        <v>18000</v>
      </c>
      <c r="J86" s="63" t="s">
        <v>458</v>
      </c>
      <c r="K86" s="63" t="s">
        <v>418</v>
      </c>
      <c r="L86" s="63" t="s">
        <v>790</v>
      </c>
      <c r="M86" s="63"/>
      <c r="N86" s="74" t="s">
        <v>690</v>
      </c>
      <c r="O86" s="65">
        <f t="shared" ref="O86:T86" si="20">O87</f>
        <v>0</v>
      </c>
      <c r="P86" s="66">
        <f t="shared" si="13"/>
        <v>18000</v>
      </c>
      <c r="Q86" s="100">
        <f t="shared" si="20"/>
        <v>18000</v>
      </c>
      <c r="R86" s="100">
        <f t="shared" si="20"/>
        <v>0</v>
      </c>
      <c r="S86" s="66">
        <f t="shared" si="14"/>
        <v>0</v>
      </c>
      <c r="T86" s="65">
        <f t="shared" si="20"/>
        <v>0</v>
      </c>
    </row>
    <row r="87" spans="1:20" ht="31.5" x14ac:dyDescent="0.2">
      <c r="A87" s="63" t="s">
        <v>458</v>
      </c>
      <c r="B87" s="63" t="s">
        <v>418</v>
      </c>
      <c r="C87" s="63" t="s">
        <v>790</v>
      </c>
      <c r="D87" s="63" t="s">
        <v>423</v>
      </c>
      <c r="E87" s="74" t="s">
        <v>434</v>
      </c>
      <c r="F87" s="65">
        <v>0</v>
      </c>
      <c r="G87" s="66">
        <f t="shared" si="11"/>
        <v>18000</v>
      </c>
      <c r="H87" s="100">
        <f>9000+9000</f>
        <v>18000</v>
      </c>
      <c r="J87" s="63" t="s">
        <v>458</v>
      </c>
      <c r="K87" s="63" t="s">
        <v>418</v>
      </c>
      <c r="L87" s="63" t="s">
        <v>790</v>
      </c>
      <c r="M87" s="63" t="s">
        <v>423</v>
      </c>
      <c r="N87" s="74" t="s">
        <v>434</v>
      </c>
      <c r="O87" s="65">
        <v>0</v>
      </c>
      <c r="P87" s="66">
        <f t="shared" si="13"/>
        <v>18000</v>
      </c>
      <c r="Q87" s="100">
        <f>9000+9000</f>
        <v>18000</v>
      </c>
      <c r="R87" s="100">
        <v>0</v>
      </c>
      <c r="S87" s="66">
        <f t="shared" si="14"/>
        <v>0</v>
      </c>
      <c r="T87" s="65">
        <v>0</v>
      </c>
    </row>
    <row r="88" spans="1:20" ht="63.75" customHeight="1" x14ac:dyDescent="0.2">
      <c r="A88" s="63" t="s">
        <v>458</v>
      </c>
      <c r="B88" s="63" t="s">
        <v>418</v>
      </c>
      <c r="C88" s="63" t="s">
        <v>898</v>
      </c>
      <c r="D88" s="63"/>
      <c r="E88" s="74" t="s">
        <v>687</v>
      </c>
      <c r="F88" s="66">
        <f>F89+F90+F91+F92</f>
        <v>619200</v>
      </c>
      <c r="G88" s="66">
        <f t="shared" si="11"/>
        <v>79000</v>
      </c>
      <c r="H88" s="99">
        <f>H89+H90+H91+H92</f>
        <v>698200</v>
      </c>
      <c r="J88" s="63" t="s">
        <v>458</v>
      </c>
      <c r="K88" s="63" t="s">
        <v>418</v>
      </c>
      <c r="L88" s="63" t="s">
        <v>898</v>
      </c>
      <c r="M88" s="63"/>
      <c r="N88" s="74" t="s">
        <v>687</v>
      </c>
      <c r="O88" s="66">
        <f t="shared" ref="O88:T88" si="21">O89+O90+O91+O92</f>
        <v>619200</v>
      </c>
      <c r="P88" s="66">
        <f t="shared" si="13"/>
        <v>79000</v>
      </c>
      <c r="Q88" s="99">
        <f t="shared" si="21"/>
        <v>698200</v>
      </c>
      <c r="R88" s="99">
        <f t="shared" si="21"/>
        <v>698200</v>
      </c>
      <c r="S88" s="66">
        <f t="shared" si="14"/>
        <v>-698200</v>
      </c>
      <c r="T88" s="66">
        <f t="shared" si="21"/>
        <v>0</v>
      </c>
    </row>
    <row r="89" spans="1:20" ht="21" x14ac:dyDescent="0.2">
      <c r="A89" s="63" t="s">
        <v>458</v>
      </c>
      <c r="B89" s="63" t="s">
        <v>418</v>
      </c>
      <c r="C89" s="63" t="s">
        <v>898</v>
      </c>
      <c r="D89" s="63" t="s">
        <v>424</v>
      </c>
      <c r="E89" s="74" t="s">
        <v>431</v>
      </c>
      <c r="F89" s="66">
        <f>270000+80000</f>
        <v>350000</v>
      </c>
      <c r="G89" s="66">
        <f t="shared" si="11"/>
        <v>50000</v>
      </c>
      <c r="H89" s="99">
        <f>308400+91600</f>
        <v>400000</v>
      </c>
      <c r="J89" s="63" t="s">
        <v>458</v>
      </c>
      <c r="K89" s="63" t="s">
        <v>418</v>
      </c>
      <c r="L89" s="63" t="s">
        <v>898</v>
      </c>
      <c r="M89" s="63" t="s">
        <v>424</v>
      </c>
      <c r="N89" s="74" t="s">
        <v>431</v>
      </c>
      <c r="O89" s="66">
        <f>270000+80000</f>
        <v>350000</v>
      </c>
      <c r="P89" s="66">
        <f t="shared" si="13"/>
        <v>50000</v>
      </c>
      <c r="Q89" s="99">
        <f>308400+91600</f>
        <v>400000</v>
      </c>
      <c r="R89" s="99">
        <f>308400+91600</f>
        <v>400000</v>
      </c>
      <c r="S89" s="66">
        <f t="shared" si="14"/>
        <v>-400000</v>
      </c>
      <c r="T89" s="66"/>
    </row>
    <row r="90" spans="1:20" ht="31.5" x14ac:dyDescent="0.2">
      <c r="A90" s="63" t="s">
        <v>458</v>
      </c>
      <c r="B90" s="63" t="s">
        <v>418</v>
      </c>
      <c r="C90" s="63" t="s">
        <v>898</v>
      </c>
      <c r="D90" s="63" t="s">
        <v>425</v>
      </c>
      <c r="E90" s="74" t="s">
        <v>432</v>
      </c>
      <c r="F90" s="66">
        <v>10000</v>
      </c>
      <c r="G90" s="66">
        <f t="shared" si="11"/>
        <v>40000</v>
      </c>
      <c r="H90" s="99">
        <f>10000+25000+15000</f>
        <v>50000</v>
      </c>
      <c r="J90" s="63" t="s">
        <v>458</v>
      </c>
      <c r="K90" s="63" t="s">
        <v>418</v>
      </c>
      <c r="L90" s="63" t="s">
        <v>898</v>
      </c>
      <c r="M90" s="63" t="s">
        <v>425</v>
      </c>
      <c r="N90" s="74" t="s">
        <v>432</v>
      </c>
      <c r="O90" s="66">
        <v>10000</v>
      </c>
      <c r="P90" s="66">
        <f t="shared" si="13"/>
        <v>40000</v>
      </c>
      <c r="Q90" s="99">
        <f>10000+25000+15000</f>
        <v>50000</v>
      </c>
      <c r="R90" s="99">
        <f>10000+25000+15000</f>
        <v>50000</v>
      </c>
      <c r="S90" s="66">
        <f t="shared" si="14"/>
        <v>-50000</v>
      </c>
      <c r="T90" s="66"/>
    </row>
    <row r="91" spans="1:20" ht="31.5" x14ac:dyDescent="0.2">
      <c r="A91" s="63" t="s">
        <v>458</v>
      </c>
      <c r="B91" s="63" t="s">
        <v>418</v>
      </c>
      <c r="C91" s="63" t="s">
        <v>898</v>
      </c>
      <c r="D91" s="63" t="s">
        <v>427</v>
      </c>
      <c r="E91" s="74" t="s">
        <v>433</v>
      </c>
      <c r="F91" s="66">
        <v>9200</v>
      </c>
      <c r="G91" s="66">
        <f t="shared" si="11"/>
        <v>32610</v>
      </c>
      <c r="H91" s="99">
        <f>9200+1500+6110+25000</f>
        <v>41810</v>
      </c>
      <c r="J91" s="63" t="s">
        <v>458</v>
      </c>
      <c r="K91" s="63" t="s">
        <v>418</v>
      </c>
      <c r="L91" s="63" t="s">
        <v>898</v>
      </c>
      <c r="M91" s="63" t="s">
        <v>427</v>
      </c>
      <c r="N91" s="74" t="s">
        <v>433</v>
      </c>
      <c r="O91" s="66">
        <v>9200</v>
      </c>
      <c r="P91" s="66">
        <f t="shared" si="13"/>
        <v>32610</v>
      </c>
      <c r="Q91" s="99">
        <f>9200+1500+6110+25000</f>
        <v>41810</v>
      </c>
      <c r="R91" s="99">
        <f>9200+1500+6110+25000</f>
        <v>41810</v>
      </c>
      <c r="S91" s="66">
        <f t="shared" si="14"/>
        <v>-41810</v>
      </c>
      <c r="T91" s="66"/>
    </row>
    <row r="92" spans="1:20" ht="31.5" x14ac:dyDescent="0.2">
      <c r="A92" s="63" t="s">
        <v>458</v>
      </c>
      <c r="B92" s="63" t="s">
        <v>418</v>
      </c>
      <c r="C92" s="63" t="s">
        <v>898</v>
      </c>
      <c r="D92" s="63" t="s">
        <v>423</v>
      </c>
      <c r="E92" s="74" t="s">
        <v>434</v>
      </c>
      <c r="F92" s="66">
        <f>25000+25000+110000+35000+55000</f>
        <v>250000</v>
      </c>
      <c r="G92" s="66">
        <f t="shared" si="11"/>
        <v>-43610</v>
      </c>
      <c r="H92" s="99">
        <f>23500+88890+10000+84000</f>
        <v>206390</v>
      </c>
      <c r="J92" s="63" t="s">
        <v>458</v>
      </c>
      <c r="K92" s="63" t="s">
        <v>418</v>
      </c>
      <c r="L92" s="63" t="s">
        <v>898</v>
      </c>
      <c r="M92" s="63" t="s">
        <v>423</v>
      </c>
      <c r="N92" s="74" t="s">
        <v>434</v>
      </c>
      <c r="O92" s="66">
        <f>25000+25000+110000+35000+55000</f>
        <v>250000</v>
      </c>
      <c r="P92" s="66">
        <f t="shared" si="13"/>
        <v>-43610</v>
      </c>
      <c r="Q92" s="99">
        <f>23500+88890+10000+84000</f>
        <v>206390</v>
      </c>
      <c r="R92" s="99">
        <f>23500+88890+10000+84000</f>
        <v>206390</v>
      </c>
      <c r="S92" s="66">
        <f t="shared" si="14"/>
        <v>-206390</v>
      </c>
      <c r="T92" s="66"/>
    </row>
    <row r="93" spans="1:20" ht="57" customHeight="1" x14ac:dyDescent="0.2">
      <c r="A93" s="63" t="s">
        <v>458</v>
      </c>
      <c r="B93" s="63" t="s">
        <v>418</v>
      </c>
      <c r="C93" s="63" t="s">
        <v>944</v>
      </c>
      <c r="D93" s="63"/>
      <c r="E93" s="74" t="s">
        <v>948</v>
      </c>
      <c r="F93" s="66"/>
      <c r="G93" s="66"/>
      <c r="H93" s="99">
        <f>H94+H96+H98</f>
        <v>515750</v>
      </c>
      <c r="J93" s="63" t="s">
        <v>458</v>
      </c>
      <c r="K93" s="63" t="s">
        <v>418</v>
      </c>
      <c r="L93" s="63" t="s">
        <v>944</v>
      </c>
      <c r="M93" s="63"/>
      <c r="N93" s="74" t="s">
        <v>948</v>
      </c>
      <c r="O93" s="66"/>
      <c r="P93" s="66"/>
      <c r="Q93" s="99">
        <f>Q94+Q96+Q98</f>
        <v>515750</v>
      </c>
      <c r="R93" s="99">
        <f>R94+R96+R98</f>
        <v>180000</v>
      </c>
      <c r="S93" s="66"/>
      <c r="T93" s="66"/>
    </row>
    <row r="94" spans="1:20" ht="54" customHeight="1" x14ac:dyDescent="0.2">
      <c r="A94" s="63" t="s">
        <v>458</v>
      </c>
      <c r="B94" s="63" t="s">
        <v>418</v>
      </c>
      <c r="C94" s="63" t="s">
        <v>945</v>
      </c>
      <c r="D94" s="63"/>
      <c r="E94" s="74" t="s">
        <v>949</v>
      </c>
      <c r="F94" s="65"/>
      <c r="G94" s="66"/>
      <c r="H94" s="100">
        <f>H95</f>
        <v>282950</v>
      </c>
      <c r="J94" s="63" t="s">
        <v>458</v>
      </c>
      <c r="K94" s="63" t="s">
        <v>418</v>
      </c>
      <c r="L94" s="63" t="s">
        <v>945</v>
      </c>
      <c r="M94" s="63"/>
      <c r="N94" s="74" t="s">
        <v>949</v>
      </c>
      <c r="O94" s="65"/>
      <c r="P94" s="66"/>
      <c r="Q94" s="100">
        <f>Q95</f>
        <v>282950</v>
      </c>
      <c r="R94" s="100">
        <f>R95</f>
        <v>0</v>
      </c>
      <c r="S94" s="66">
        <f t="shared" si="14"/>
        <v>0</v>
      </c>
      <c r="T94" s="65">
        <f>T95</f>
        <v>0</v>
      </c>
    </row>
    <row r="95" spans="1:20" ht="31.5" x14ac:dyDescent="0.2">
      <c r="A95" s="63" t="s">
        <v>458</v>
      </c>
      <c r="B95" s="63" t="s">
        <v>418</v>
      </c>
      <c r="C95" s="63" t="s">
        <v>945</v>
      </c>
      <c r="D95" s="63" t="s">
        <v>427</v>
      </c>
      <c r="E95" s="74" t="s">
        <v>433</v>
      </c>
      <c r="F95" s="65"/>
      <c r="G95" s="66"/>
      <c r="H95" s="100">
        <f>250000+32950</f>
        <v>282950</v>
      </c>
      <c r="J95" s="63" t="s">
        <v>458</v>
      </c>
      <c r="K95" s="63" t="s">
        <v>418</v>
      </c>
      <c r="L95" s="63" t="s">
        <v>945</v>
      </c>
      <c r="M95" s="63" t="s">
        <v>427</v>
      </c>
      <c r="N95" s="74" t="s">
        <v>433</v>
      </c>
      <c r="O95" s="65"/>
      <c r="P95" s="66"/>
      <c r="Q95" s="100">
        <f>250000+32950</f>
        <v>282950</v>
      </c>
      <c r="R95" s="100"/>
      <c r="S95" s="66">
        <f t="shared" si="14"/>
        <v>0</v>
      </c>
      <c r="T95" s="65">
        <v>0</v>
      </c>
    </row>
    <row r="96" spans="1:20" ht="57.75" customHeight="1" x14ac:dyDescent="0.2">
      <c r="A96" s="63" t="s">
        <v>458</v>
      </c>
      <c r="B96" s="63" t="s">
        <v>418</v>
      </c>
      <c r="C96" s="63" t="s">
        <v>946</v>
      </c>
      <c r="D96" s="63"/>
      <c r="E96" s="74" t="s">
        <v>950</v>
      </c>
      <c r="F96" s="65"/>
      <c r="G96" s="66"/>
      <c r="H96" s="100">
        <f>H97</f>
        <v>52800</v>
      </c>
      <c r="J96" s="63" t="s">
        <v>458</v>
      </c>
      <c r="K96" s="63" t="s">
        <v>418</v>
      </c>
      <c r="L96" s="63" t="s">
        <v>946</v>
      </c>
      <c r="M96" s="63"/>
      <c r="N96" s="74" t="s">
        <v>950</v>
      </c>
      <c r="O96" s="65"/>
      <c r="P96" s="66"/>
      <c r="Q96" s="100">
        <f>Q97</f>
        <v>52800</v>
      </c>
      <c r="R96" s="100">
        <f>R97</f>
        <v>0</v>
      </c>
      <c r="S96" s="66">
        <f t="shared" si="14"/>
        <v>0</v>
      </c>
      <c r="T96" s="65">
        <f>T97</f>
        <v>0</v>
      </c>
    </row>
    <row r="97" spans="1:20" ht="24.75" customHeight="1" x14ac:dyDescent="0.2">
      <c r="A97" s="63" t="s">
        <v>458</v>
      </c>
      <c r="B97" s="63" t="s">
        <v>418</v>
      </c>
      <c r="C97" s="63" t="s">
        <v>946</v>
      </c>
      <c r="D97" s="63" t="s">
        <v>423</v>
      </c>
      <c r="E97" s="74" t="s">
        <v>434</v>
      </c>
      <c r="F97" s="65"/>
      <c r="G97" s="66"/>
      <c r="H97" s="100">
        <v>52800</v>
      </c>
      <c r="J97" s="63" t="s">
        <v>458</v>
      </c>
      <c r="K97" s="63" t="s">
        <v>418</v>
      </c>
      <c r="L97" s="63" t="s">
        <v>946</v>
      </c>
      <c r="M97" s="63" t="s">
        <v>423</v>
      </c>
      <c r="N97" s="74" t="s">
        <v>434</v>
      </c>
      <c r="O97" s="65"/>
      <c r="P97" s="66"/>
      <c r="Q97" s="100">
        <v>52800</v>
      </c>
      <c r="R97" s="100"/>
      <c r="S97" s="66">
        <f t="shared" si="14"/>
        <v>0</v>
      </c>
      <c r="T97" s="65">
        <v>0</v>
      </c>
    </row>
    <row r="98" spans="1:20" ht="57" customHeight="1" x14ac:dyDescent="0.2">
      <c r="A98" s="63" t="s">
        <v>458</v>
      </c>
      <c r="B98" s="63" t="s">
        <v>418</v>
      </c>
      <c r="C98" s="63" t="s">
        <v>947</v>
      </c>
      <c r="D98" s="63"/>
      <c r="E98" s="74" t="s">
        <v>951</v>
      </c>
      <c r="F98" s="65"/>
      <c r="G98" s="66"/>
      <c r="H98" s="100">
        <f>H99</f>
        <v>180000</v>
      </c>
      <c r="J98" s="63" t="s">
        <v>458</v>
      </c>
      <c r="K98" s="63" t="s">
        <v>418</v>
      </c>
      <c r="L98" s="63" t="s">
        <v>947</v>
      </c>
      <c r="M98" s="63"/>
      <c r="N98" s="74" t="s">
        <v>951</v>
      </c>
      <c r="O98" s="65"/>
      <c r="P98" s="66"/>
      <c r="Q98" s="100">
        <f>Q99</f>
        <v>180000</v>
      </c>
      <c r="R98" s="100">
        <f>R99</f>
        <v>180000</v>
      </c>
      <c r="S98" s="66"/>
      <c r="T98" s="65"/>
    </row>
    <row r="99" spans="1:20" x14ac:dyDescent="0.2">
      <c r="A99" s="63" t="s">
        <v>458</v>
      </c>
      <c r="B99" s="63" t="s">
        <v>418</v>
      </c>
      <c r="C99" s="63" t="s">
        <v>947</v>
      </c>
      <c r="D99" s="63" t="s">
        <v>952</v>
      </c>
      <c r="E99" s="74" t="s">
        <v>953</v>
      </c>
      <c r="F99" s="65"/>
      <c r="G99" s="66"/>
      <c r="H99" s="100">
        <v>180000</v>
      </c>
      <c r="J99" s="63" t="s">
        <v>458</v>
      </c>
      <c r="K99" s="63" t="s">
        <v>418</v>
      </c>
      <c r="L99" s="63" t="s">
        <v>947</v>
      </c>
      <c r="M99" s="63" t="s">
        <v>952</v>
      </c>
      <c r="N99" s="74" t="s">
        <v>953</v>
      </c>
      <c r="O99" s="65"/>
      <c r="P99" s="66"/>
      <c r="Q99" s="100">
        <v>180000</v>
      </c>
      <c r="R99" s="100">
        <v>180000</v>
      </c>
      <c r="S99" s="66"/>
      <c r="T99" s="65"/>
    </row>
    <row r="100" spans="1:20" ht="56.25" customHeight="1" x14ac:dyDescent="0.2">
      <c r="A100" s="63" t="s">
        <v>458</v>
      </c>
      <c r="B100" s="63" t="s">
        <v>418</v>
      </c>
      <c r="C100" s="63" t="s">
        <v>955</v>
      </c>
      <c r="D100" s="63"/>
      <c r="E100" s="74" t="s">
        <v>956</v>
      </c>
      <c r="F100" s="65"/>
      <c r="G100" s="66"/>
      <c r="H100" s="100">
        <f>H101+H102</f>
        <v>110000</v>
      </c>
      <c r="J100" s="63" t="s">
        <v>458</v>
      </c>
      <c r="K100" s="63" t="s">
        <v>418</v>
      </c>
      <c r="L100" s="63" t="s">
        <v>955</v>
      </c>
      <c r="M100" s="63"/>
      <c r="N100" s="74" t="s">
        <v>956</v>
      </c>
      <c r="O100" s="65"/>
      <c r="P100" s="66"/>
      <c r="Q100" s="100">
        <f>Q101+Q102</f>
        <v>110000</v>
      </c>
      <c r="R100" s="100">
        <f>R101+R102</f>
        <v>0</v>
      </c>
      <c r="S100" s="66"/>
      <c r="T100" s="65"/>
    </row>
    <row r="101" spans="1:20" ht="31.5" x14ac:dyDescent="0.2">
      <c r="A101" s="63" t="s">
        <v>458</v>
      </c>
      <c r="B101" s="63" t="s">
        <v>418</v>
      </c>
      <c r="C101" s="63" t="s">
        <v>955</v>
      </c>
      <c r="D101" s="63" t="s">
        <v>427</v>
      </c>
      <c r="E101" s="74" t="s">
        <v>433</v>
      </c>
      <c r="F101" s="65"/>
      <c r="G101" s="66"/>
      <c r="H101" s="100">
        <v>10000</v>
      </c>
      <c r="J101" s="63" t="s">
        <v>458</v>
      </c>
      <c r="K101" s="63" t="s">
        <v>418</v>
      </c>
      <c r="L101" s="63" t="s">
        <v>955</v>
      </c>
      <c r="M101" s="63" t="s">
        <v>427</v>
      </c>
      <c r="N101" s="74" t="s">
        <v>433</v>
      </c>
      <c r="O101" s="65"/>
      <c r="P101" s="66"/>
      <c r="Q101" s="100">
        <v>10000</v>
      </c>
      <c r="R101" s="100"/>
      <c r="S101" s="66"/>
      <c r="T101" s="65"/>
    </row>
    <row r="102" spans="1:20" ht="31.5" x14ac:dyDescent="0.2">
      <c r="A102" s="63" t="s">
        <v>458</v>
      </c>
      <c r="B102" s="63" t="s">
        <v>418</v>
      </c>
      <c r="C102" s="63" t="s">
        <v>955</v>
      </c>
      <c r="D102" s="63" t="s">
        <v>423</v>
      </c>
      <c r="E102" s="74" t="s">
        <v>434</v>
      </c>
      <c r="F102" s="65"/>
      <c r="G102" s="66"/>
      <c r="H102" s="100">
        <v>100000</v>
      </c>
      <c r="J102" s="63" t="s">
        <v>458</v>
      </c>
      <c r="K102" s="63" t="s">
        <v>418</v>
      </c>
      <c r="L102" s="63" t="s">
        <v>955</v>
      </c>
      <c r="M102" s="63" t="s">
        <v>423</v>
      </c>
      <c r="N102" s="74" t="s">
        <v>434</v>
      </c>
      <c r="O102" s="65"/>
      <c r="P102" s="66"/>
      <c r="Q102" s="100">
        <v>100000</v>
      </c>
      <c r="R102" s="100"/>
      <c r="S102" s="66"/>
      <c r="T102" s="65"/>
    </row>
    <row r="103" spans="1:20" ht="95.25" customHeight="1" x14ac:dyDescent="0.2">
      <c r="A103" s="63" t="s">
        <v>458</v>
      </c>
      <c r="B103" s="63" t="s">
        <v>418</v>
      </c>
      <c r="C103" s="63" t="s">
        <v>957</v>
      </c>
      <c r="D103" s="63"/>
      <c r="E103" s="74" t="s">
        <v>958</v>
      </c>
      <c r="F103" s="65"/>
      <c r="G103" s="66"/>
      <c r="H103" s="100">
        <f>H104</f>
        <v>100</v>
      </c>
      <c r="J103" s="63" t="s">
        <v>458</v>
      </c>
      <c r="K103" s="63" t="s">
        <v>418</v>
      </c>
      <c r="L103" s="63" t="s">
        <v>957</v>
      </c>
      <c r="M103" s="63"/>
      <c r="N103" s="74" t="s">
        <v>958</v>
      </c>
      <c r="O103" s="65"/>
      <c r="P103" s="66"/>
      <c r="Q103" s="100">
        <f>Q104</f>
        <v>100</v>
      </c>
      <c r="R103" s="100">
        <f>R104</f>
        <v>100</v>
      </c>
      <c r="S103" s="66"/>
      <c r="T103" s="65"/>
    </row>
    <row r="104" spans="1:20" ht="31.5" x14ac:dyDescent="0.2">
      <c r="A104" s="63" t="s">
        <v>458</v>
      </c>
      <c r="B104" s="63" t="s">
        <v>418</v>
      </c>
      <c r="C104" s="63" t="s">
        <v>957</v>
      </c>
      <c r="D104" s="63" t="s">
        <v>423</v>
      </c>
      <c r="E104" s="74" t="s">
        <v>434</v>
      </c>
      <c r="F104" s="65"/>
      <c r="G104" s="66"/>
      <c r="H104" s="100">
        <v>100</v>
      </c>
      <c r="J104" s="63" t="s">
        <v>458</v>
      </c>
      <c r="K104" s="63" t="s">
        <v>418</v>
      </c>
      <c r="L104" s="63" t="s">
        <v>957</v>
      </c>
      <c r="M104" s="63" t="s">
        <v>423</v>
      </c>
      <c r="N104" s="74" t="s">
        <v>434</v>
      </c>
      <c r="O104" s="65"/>
      <c r="P104" s="66"/>
      <c r="Q104" s="100">
        <v>100</v>
      </c>
      <c r="R104" s="100">
        <v>100</v>
      </c>
      <c r="S104" s="66"/>
      <c r="T104" s="65"/>
    </row>
    <row r="105" spans="1:20" ht="52.5" x14ac:dyDescent="0.2">
      <c r="A105" s="63" t="s">
        <v>458</v>
      </c>
      <c r="B105" s="63" t="s">
        <v>418</v>
      </c>
      <c r="C105" s="63" t="s">
        <v>691</v>
      </c>
      <c r="D105" s="63"/>
      <c r="E105" s="74" t="s">
        <v>481</v>
      </c>
      <c r="F105" s="65">
        <f>F106</f>
        <v>5000</v>
      </c>
      <c r="G105" s="66">
        <f t="shared" si="11"/>
        <v>-5000</v>
      </c>
      <c r="H105" s="100">
        <f>H106</f>
        <v>0</v>
      </c>
      <c r="J105" s="63" t="s">
        <v>458</v>
      </c>
      <c r="K105" s="63" t="s">
        <v>418</v>
      </c>
      <c r="L105" s="63" t="s">
        <v>691</v>
      </c>
      <c r="M105" s="63"/>
      <c r="N105" s="74" t="s">
        <v>481</v>
      </c>
      <c r="O105" s="65">
        <f t="shared" ref="O105:T105" si="22">O106</f>
        <v>5000</v>
      </c>
      <c r="P105" s="66">
        <f t="shared" si="13"/>
        <v>-5000</v>
      </c>
      <c r="Q105" s="100">
        <f t="shared" si="22"/>
        <v>0</v>
      </c>
      <c r="R105" s="100">
        <f t="shared" si="22"/>
        <v>6600</v>
      </c>
      <c r="S105" s="66">
        <f t="shared" si="14"/>
        <v>-6600</v>
      </c>
      <c r="T105" s="65">
        <f t="shared" si="22"/>
        <v>0</v>
      </c>
    </row>
    <row r="106" spans="1:20" ht="31.5" x14ac:dyDescent="0.2">
      <c r="A106" s="63" t="s">
        <v>458</v>
      </c>
      <c r="B106" s="63" t="s">
        <v>418</v>
      </c>
      <c r="C106" s="63" t="s">
        <v>691</v>
      </c>
      <c r="D106" s="63" t="s">
        <v>423</v>
      </c>
      <c r="E106" s="74" t="s">
        <v>434</v>
      </c>
      <c r="F106" s="65">
        <v>5000</v>
      </c>
      <c r="G106" s="66">
        <f t="shared" si="11"/>
        <v>-5000</v>
      </c>
      <c r="H106" s="100">
        <v>0</v>
      </c>
      <c r="J106" s="63" t="s">
        <v>458</v>
      </c>
      <c r="K106" s="63" t="s">
        <v>418</v>
      </c>
      <c r="L106" s="63" t="s">
        <v>691</v>
      </c>
      <c r="M106" s="63" t="s">
        <v>423</v>
      </c>
      <c r="N106" s="74" t="s">
        <v>434</v>
      </c>
      <c r="O106" s="65">
        <v>5000</v>
      </c>
      <c r="P106" s="66">
        <f t="shared" si="13"/>
        <v>-5000</v>
      </c>
      <c r="Q106" s="100">
        <v>0</v>
      </c>
      <c r="R106" s="100">
        <v>6600</v>
      </c>
      <c r="S106" s="66">
        <f t="shared" si="14"/>
        <v>-6600</v>
      </c>
      <c r="T106" s="65"/>
    </row>
    <row r="107" spans="1:20" ht="52.5" x14ac:dyDescent="0.2">
      <c r="A107" s="63" t="s">
        <v>458</v>
      </c>
      <c r="B107" s="63" t="s">
        <v>418</v>
      </c>
      <c r="C107" s="63" t="s">
        <v>692</v>
      </c>
      <c r="D107" s="63"/>
      <c r="E107" s="74" t="s">
        <v>693</v>
      </c>
      <c r="F107" s="65">
        <f>F108+F109</f>
        <v>59600</v>
      </c>
      <c r="G107" s="66">
        <f t="shared" si="11"/>
        <v>1900</v>
      </c>
      <c r="H107" s="100">
        <f>H108+H109</f>
        <v>61500</v>
      </c>
      <c r="J107" s="63" t="s">
        <v>458</v>
      </c>
      <c r="K107" s="63" t="s">
        <v>418</v>
      </c>
      <c r="L107" s="63" t="s">
        <v>692</v>
      </c>
      <c r="M107" s="63"/>
      <c r="N107" s="74" t="s">
        <v>693</v>
      </c>
      <c r="O107" s="65">
        <f t="shared" ref="O107:T107" si="23">O108+O109</f>
        <v>59600</v>
      </c>
      <c r="P107" s="66">
        <f t="shared" si="13"/>
        <v>1900</v>
      </c>
      <c r="Q107" s="100">
        <f t="shared" si="23"/>
        <v>61500</v>
      </c>
      <c r="R107" s="100">
        <f t="shared" si="23"/>
        <v>61500</v>
      </c>
      <c r="S107" s="66">
        <f t="shared" si="14"/>
        <v>-61500</v>
      </c>
      <c r="T107" s="65">
        <f t="shared" si="23"/>
        <v>0</v>
      </c>
    </row>
    <row r="108" spans="1:20" ht="31.5" x14ac:dyDescent="0.2">
      <c r="A108" s="63" t="s">
        <v>458</v>
      </c>
      <c r="B108" s="63" t="s">
        <v>418</v>
      </c>
      <c r="C108" s="63" t="s">
        <v>692</v>
      </c>
      <c r="D108" s="63" t="s">
        <v>427</v>
      </c>
      <c r="E108" s="74" t="s">
        <v>433</v>
      </c>
      <c r="F108" s="65">
        <v>14000</v>
      </c>
      <c r="G108" s="66">
        <f t="shared" si="11"/>
        <v>0</v>
      </c>
      <c r="H108" s="100">
        <v>14000</v>
      </c>
      <c r="J108" s="63" t="s">
        <v>458</v>
      </c>
      <c r="K108" s="63" t="s">
        <v>418</v>
      </c>
      <c r="L108" s="63" t="s">
        <v>692</v>
      </c>
      <c r="M108" s="63" t="s">
        <v>427</v>
      </c>
      <c r="N108" s="74" t="s">
        <v>433</v>
      </c>
      <c r="O108" s="65">
        <v>14000</v>
      </c>
      <c r="P108" s="66">
        <f t="shared" si="13"/>
        <v>0</v>
      </c>
      <c r="Q108" s="100">
        <v>14000</v>
      </c>
      <c r="R108" s="100">
        <v>14000</v>
      </c>
      <c r="S108" s="66">
        <f t="shared" si="14"/>
        <v>-14000</v>
      </c>
      <c r="T108" s="65"/>
    </row>
    <row r="109" spans="1:20" ht="31.5" x14ac:dyDescent="0.2">
      <c r="A109" s="63" t="s">
        <v>458</v>
      </c>
      <c r="B109" s="63" t="s">
        <v>418</v>
      </c>
      <c r="C109" s="63" t="s">
        <v>692</v>
      </c>
      <c r="D109" s="63" t="s">
        <v>423</v>
      </c>
      <c r="E109" s="74" t="s">
        <v>434</v>
      </c>
      <c r="F109" s="65">
        <f>36000+9600</f>
        <v>45600</v>
      </c>
      <c r="G109" s="66">
        <f t="shared" si="11"/>
        <v>1900</v>
      </c>
      <c r="H109" s="100">
        <f>36000+11500</f>
        <v>47500</v>
      </c>
      <c r="J109" s="63" t="s">
        <v>458</v>
      </c>
      <c r="K109" s="63" t="s">
        <v>418</v>
      </c>
      <c r="L109" s="63" t="s">
        <v>692</v>
      </c>
      <c r="M109" s="63" t="s">
        <v>423</v>
      </c>
      <c r="N109" s="74" t="s">
        <v>434</v>
      </c>
      <c r="O109" s="65">
        <f>36000+9600</f>
        <v>45600</v>
      </c>
      <c r="P109" s="66">
        <f t="shared" si="13"/>
        <v>1900</v>
      </c>
      <c r="Q109" s="100">
        <f>36000+11500</f>
        <v>47500</v>
      </c>
      <c r="R109" s="100">
        <f>36000+11500</f>
        <v>47500</v>
      </c>
      <c r="S109" s="66">
        <f t="shared" si="14"/>
        <v>-47500</v>
      </c>
      <c r="T109" s="65"/>
    </row>
    <row r="110" spans="1:20" ht="94.5" x14ac:dyDescent="0.2">
      <c r="A110" s="63" t="s">
        <v>458</v>
      </c>
      <c r="B110" s="63" t="s">
        <v>418</v>
      </c>
      <c r="C110" s="63" t="s">
        <v>694</v>
      </c>
      <c r="D110" s="63"/>
      <c r="E110" s="74" t="s">
        <v>329</v>
      </c>
      <c r="F110" s="65">
        <f>F111+F112+F113</f>
        <v>188300</v>
      </c>
      <c r="G110" s="66">
        <f t="shared" si="11"/>
        <v>2100</v>
      </c>
      <c r="H110" s="100">
        <f>H111+H112+H113</f>
        <v>190400</v>
      </c>
      <c r="J110" s="63" t="s">
        <v>458</v>
      </c>
      <c r="K110" s="63" t="s">
        <v>418</v>
      </c>
      <c r="L110" s="63" t="s">
        <v>694</v>
      </c>
      <c r="M110" s="63"/>
      <c r="N110" s="74" t="s">
        <v>329</v>
      </c>
      <c r="O110" s="65">
        <f t="shared" ref="O110:T110" si="24">O111+O112+O113</f>
        <v>188300</v>
      </c>
      <c r="P110" s="66">
        <f t="shared" si="13"/>
        <v>2100</v>
      </c>
      <c r="Q110" s="100">
        <f>Q111+Q112+Q113</f>
        <v>190400</v>
      </c>
      <c r="R110" s="100">
        <f t="shared" si="24"/>
        <v>190400</v>
      </c>
      <c r="S110" s="66">
        <f t="shared" si="14"/>
        <v>-190400</v>
      </c>
      <c r="T110" s="65">
        <f t="shared" si="24"/>
        <v>0</v>
      </c>
    </row>
    <row r="111" spans="1:20" ht="21" x14ac:dyDescent="0.2">
      <c r="A111" s="63" t="s">
        <v>458</v>
      </c>
      <c r="B111" s="63" t="s">
        <v>418</v>
      </c>
      <c r="C111" s="63" t="s">
        <v>694</v>
      </c>
      <c r="D111" s="63" t="s">
        <v>424</v>
      </c>
      <c r="E111" s="74" t="s">
        <v>431</v>
      </c>
      <c r="F111" s="65">
        <f>109588+31888</f>
        <v>141476</v>
      </c>
      <c r="G111" s="66">
        <f t="shared" si="11"/>
        <v>0</v>
      </c>
      <c r="H111" s="100">
        <f>109588+31888</f>
        <v>141476</v>
      </c>
      <c r="J111" s="63" t="s">
        <v>458</v>
      </c>
      <c r="K111" s="63" t="s">
        <v>418</v>
      </c>
      <c r="L111" s="63" t="s">
        <v>694</v>
      </c>
      <c r="M111" s="63" t="s">
        <v>424</v>
      </c>
      <c r="N111" s="74" t="s">
        <v>431</v>
      </c>
      <c r="O111" s="65">
        <f>109588+31888</f>
        <v>141476</v>
      </c>
      <c r="P111" s="66">
        <f t="shared" si="13"/>
        <v>0</v>
      </c>
      <c r="Q111" s="100">
        <f>109588+31888</f>
        <v>141476</v>
      </c>
      <c r="R111" s="100">
        <f>109588+31888</f>
        <v>141476</v>
      </c>
      <c r="S111" s="66">
        <f t="shared" si="14"/>
        <v>-141476</v>
      </c>
      <c r="T111" s="65"/>
    </row>
    <row r="112" spans="1:20" ht="31.5" x14ac:dyDescent="0.2">
      <c r="A112" s="63" t="s">
        <v>458</v>
      </c>
      <c r="B112" s="63" t="s">
        <v>418</v>
      </c>
      <c r="C112" s="63" t="s">
        <v>694</v>
      </c>
      <c r="D112" s="63" t="s">
        <v>427</v>
      </c>
      <c r="E112" s="74" t="s">
        <v>433</v>
      </c>
      <c r="F112" s="65">
        <v>30000</v>
      </c>
      <c r="G112" s="66">
        <f t="shared" si="11"/>
        <v>0</v>
      </c>
      <c r="H112" s="100">
        <v>30000</v>
      </c>
      <c r="J112" s="63" t="s">
        <v>458</v>
      </c>
      <c r="K112" s="63" t="s">
        <v>418</v>
      </c>
      <c r="L112" s="63" t="s">
        <v>694</v>
      </c>
      <c r="M112" s="63" t="s">
        <v>427</v>
      </c>
      <c r="N112" s="74" t="s">
        <v>433</v>
      </c>
      <c r="O112" s="65">
        <v>30000</v>
      </c>
      <c r="P112" s="66">
        <f t="shared" si="13"/>
        <v>0</v>
      </c>
      <c r="Q112" s="100">
        <v>30000</v>
      </c>
      <c r="R112" s="100">
        <v>30000</v>
      </c>
      <c r="S112" s="66">
        <f t="shared" si="14"/>
        <v>-30000</v>
      </c>
      <c r="T112" s="65"/>
    </row>
    <row r="113" spans="1:20" ht="31.5" x14ac:dyDescent="0.2">
      <c r="A113" s="63" t="s">
        <v>458</v>
      </c>
      <c r="B113" s="63" t="s">
        <v>418</v>
      </c>
      <c r="C113" s="63" t="s">
        <v>694</v>
      </c>
      <c r="D113" s="63" t="s">
        <v>423</v>
      </c>
      <c r="E113" s="74" t="s">
        <v>434</v>
      </c>
      <c r="F113" s="65">
        <v>16824</v>
      </c>
      <c r="G113" s="66">
        <f t="shared" si="11"/>
        <v>2100</v>
      </c>
      <c r="H113" s="100">
        <v>18924</v>
      </c>
      <c r="J113" s="63" t="s">
        <v>458</v>
      </c>
      <c r="K113" s="63" t="s">
        <v>418</v>
      </c>
      <c r="L113" s="63" t="s">
        <v>694</v>
      </c>
      <c r="M113" s="63" t="s">
        <v>423</v>
      </c>
      <c r="N113" s="74" t="s">
        <v>434</v>
      </c>
      <c r="O113" s="65">
        <v>16824</v>
      </c>
      <c r="P113" s="66">
        <f t="shared" si="13"/>
        <v>2100</v>
      </c>
      <c r="Q113" s="100">
        <v>18924</v>
      </c>
      <c r="R113" s="100">
        <v>18924</v>
      </c>
      <c r="S113" s="66">
        <f t="shared" si="14"/>
        <v>-18924</v>
      </c>
      <c r="T113" s="65"/>
    </row>
    <row r="114" spans="1:20" ht="31.5" x14ac:dyDescent="0.2">
      <c r="A114" s="63" t="s">
        <v>458</v>
      </c>
      <c r="B114" s="63" t="s">
        <v>418</v>
      </c>
      <c r="C114" s="63" t="s">
        <v>911</v>
      </c>
      <c r="D114" s="63"/>
      <c r="E114" s="74" t="s">
        <v>685</v>
      </c>
      <c r="F114" s="65">
        <f>F115</f>
        <v>521470</v>
      </c>
      <c r="G114" s="66">
        <f t="shared" si="11"/>
        <v>68330</v>
      </c>
      <c r="H114" s="100">
        <f>H115</f>
        <v>589800</v>
      </c>
      <c r="J114" s="63" t="s">
        <v>458</v>
      </c>
      <c r="K114" s="63" t="s">
        <v>418</v>
      </c>
      <c r="L114" s="63" t="s">
        <v>911</v>
      </c>
      <c r="M114" s="63"/>
      <c r="N114" s="74" t="s">
        <v>685</v>
      </c>
      <c r="O114" s="65">
        <f t="shared" ref="O114:T114" si="25">O115</f>
        <v>521470</v>
      </c>
      <c r="P114" s="66">
        <f t="shared" si="13"/>
        <v>3230</v>
      </c>
      <c r="Q114" s="100">
        <f t="shared" si="25"/>
        <v>524700</v>
      </c>
      <c r="R114" s="100">
        <f t="shared" si="25"/>
        <v>524700</v>
      </c>
      <c r="S114" s="66">
        <f t="shared" si="14"/>
        <v>-524700</v>
      </c>
      <c r="T114" s="65">
        <f t="shared" si="25"/>
        <v>0</v>
      </c>
    </row>
    <row r="115" spans="1:20" ht="21" x14ac:dyDescent="0.2">
      <c r="A115" s="63" t="s">
        <v>458</v>
      </c>
      <c r="B115" s="63" t="s">
        <v>418</v>
      </c>
      <c r="C115" s="63" t="s">
        <v>911</v>
      </c>
      <c r="D115" s="63" t="s">
        <v>424</v>
      </c>
      <c r="E115" s="74" t="s">
        <v>431</v>
      </c>
      <c r="F115" s="65">
        <f>400500+120970</f>
        <v>521470</v>
      </c>
      <c r="G115" s="66">
        <f t="shared" si="11"/>
        <v>68330</v>
      </c>
      <c r="H115" s="100">
        <f>453000+136800</f>
        <v>589800</v>
      </c>
      <c r="J115" s="63" t="s">
        <v>458</v>
      </c>
      <c r="K115" s="63" t="s">
        <v>418</v>
      </c>
      <c r="L115" s="63" t="s">
        <v>911</v>
      </c>
      <c r="M115" s="63" t="s">
        <v>424</v>
      </c>
      <c r="N115" s="74" t="s">
        <v>431</v>
      </c>
      <c r="O115" s="65">
        <f>400500+120970</f>
        <v>521470</v>
      </c>
      <c r="P115" s="66">
        <f t="shared" si="13"/>
        <v>3230</v>
      </c>
      <c r="Q115" s="100">
        <f>403000+121700</f>
        <v>524700</v>
      </c>
      <c r="R115" s="100">
        <f>403000+121700</f>
        <v>524700</v>
      </c>
      <c r="S115" s="66">
        <f t="shared" si="14"/>
        <v>-524700</v>
      </c>
      <c r="T115" s="65"/>
    </row>
    <row r="116" spans="1:20" ht="21" x14ac:dyDescent="0.2">
      <c r="A116" s="63" t="s">
        <v>458</v>
      </c>
      <c r="B116" s="63" t="s">
        <v>394</v>
      </c>
      <c r="C116" s="63"/>
      <c r="D116" s="63"/>
      <c r="E116" s="74" t="s">
        <v>397</v>
      </c>
      <c r="F116" s="65">
        <f t="shared" ref="F116:H117" si="26">F117</f>
        <v>0</v>
      </c>
      <c r="G116" s="66">
        <f t="shared" si="11"/>
        <v>0</v>
      </c>
      <c r="H116" s="100">
        <f t="shared" si="26"/>
        <v>0</v>
      </c>
      <c r="J116" s="63" t="s">
        <v>458</v>
      </c>
      <c r="K116" s="63" t="s">
        <v>394</v>
      </c>
      <c r="L116" s="63"/>
      <c r="M116" s="63"/>
      <c r="N116" s="74" t="s">
        <v>397</v>
      </c>
      <c r="O116" s="65">
        <f t="shared" ref="O116:T117" si="27">O117</f>
        <v>0</v>
      </c>
      <c r="P116" s="66">
        <f t="shared" si="13"/>
        <v>0</v>
      </c>
      <c r="Q116" s="100">
        <f t="shared" si="27"/>
        <v>0</v>
      </c>
      <c r="R116" s="100">
        <f t="shared" si="27"/>
        <v>0</v>
      </c>
      <c r="S116" s="66">
        <f t="shared" si="14"/>
        <v>0</v>
      </c>
      <c r="T116" s="65">
        <f t="shared" si="27"/>
        <v>0</v>
      </c>
    </row>
    <row r="117" spans="1:20" ht="21" x14ac:dyDescent="0.2">
      <c r="A117" s="63" t="s">
        <v>458</v>
      </c>
      <c r="B117" s="63" t="s">
        <v>394</v>
      </c>
      <c r="C117" s="63" t="s">
        <v>695</v>
      </c>
      <c r="D117" s="63"/>
      <c r="E117" s="74" t="s">
        <v>696</v>
      </c>
      <c r="F117" s="65">
        <f t="shared" si="26"/>
        <v>0</v>
      </c>
      <c r="G117" s="66">
        <f t="shared" si="11"/>
        <v>0</v>
      </c>
      <c r="H117" s="100">
        <f t="shared" si="26"/>
        <v>0</v>
      </c>
      <c r="J117" s="63" t="s">
        <v>458</v>
      </c>
      <c r="K117" s="63" t="s">
        <v>394</v>
      </c>
      <c r="L117" s="63" t="s">
        <v>695</v>
      </c>
      <c r="M117" s="63"/>
      <c r="N117" s="74" t="s">
        <v>696</v>
      </c>
      <c r="O117" s="65">
        <f t="shared" si="27"/>
        <v>0</v>
      </c>
      <c r="P117" s="66">
        <f t="shared" si="13"/>
        <v>0</v>
      </c>
      <c r="Q117" s="100">
        <f t="shared" si="27"/>
        <v>0</v>
      </c>
      <c r="R117" s="100">
        <f t="shared" si="27"/>
        <v>0</v>
      </c>
      <c r="S117" s="66">
        <f t="shared" si="14"/>
        <v>0</v>
      </c>
      <c r="T117" s="65">
        <f t="shared" si="27"/>
        <v>0</v>
      </c>
    </row>
    <row r="118" spans="1:20" x14ac:dyDescent="0.2">
      <c r="A118" s="63" t="s">
        <v>458</v>
      </c>
      <c r="B118" s="63" t="s">
        <v>394</v>
      </c>
      <c r="C118" s="63" t="s">
        <v>695</v>
      </c>
      <c r="D118" s="63" t="s">
        <v>395</v>
      </c>
      <c r="E118" s="74" t="s">
        <v>396</v>
      </c>
      <c r="F118" s="65">
        <v>0</v>
      </c>
      <c r="G118" s="66">
        <f t="shared" si="11"/>
        <v>0</v>
      </c>
      <c r="H118" s="100">
        <v>0</v>
      </c>
      <c r="J118" s="63" t="s">
        <v>458</v>
      </c>
      <c r="K118" s="63" t="s">
        <v>394</v>
      </c>
      <c r="L118" s="63" t="s">
        <v>695</v>
      </c>
      <c r="M118" s="63" t="s">
        <v>395</v>
      </c>
      <c r="N118" s="74" t="s">
        <v>396</v>
      </c>
      <c r="O118" s="65">
        <v>0</v>
      </c>
      <c r="P118" s="66">
        <f t="shared" si="13"/>
        <v>0</v>
      </c>
      <c r="Q118" s="100">
        <v>0</v>
      </c>
      <c r="R118" s="100">
        <v>0</v>
      </c>
      <c r="S118" s="66">
        <f t="shared" si="14"/>
        <v>0</v>
      </c>
      <c r="T118" s="65">
        <v>0</v>
      </c>
    </row>
    <row r="119" spans="1:20" ht="63" x14ac:dyDescent="0.2">
      <c r="A119" s="63" t="s">
        <v>458</v>
      </c>
      <c r="B119" s="63" t="s">
        <v>506</v>
      </c>
      <c r="C119" s="63"/>
      <c r="D119" s="63"/>
      <c r="E119" s="74" t="s">
        <v>507</v>
      </c>
      <c r="F119" s="66">
        <f>F120</f>
        <v>202500</v>
      </c>
      <c r="G119" s="66">
        <f t="shared" si="11"/>
        <v>-52500</v>
      </c>
      <c r="H119" s="99">
        <f>H120</f>
        <v>150000</v>
      </c>
      <c r="J119" s="63" t="s">
        <v>458</v>
      </c>
      <c r="K119" s="63" t="s">
        <v>506</v>
      </c>
      <c r="L119" s="63"/>
      <c r="M119" s="63"/>
      <c r="N119" s="74" t="s">
        <v>507</v>
      </c>
      <c r="O119" s="66" t="e">
        <f>O120+#REF!</f>
        <v>#REF!</v>
      </c>
      <c r="P119" s="66" t="e">
        <f t="shared" si="13"/>
        <v>#REF!</v>
      </c>
      <c r="Q119" s="99">
        <f>Q120</f>
        <v>150000</v>
      </c>
      <c r="R119" s="99">
        <f>R120</f>
        <v>150000</v>
      </c>
      <c r="S119" s="66" t="e">
        <f t="shared" si="14"/>
        <v>#REF!</v>
      </c>
      <c r="T119" s="66" t="e">
        <f>T120+#REF!</f>
        <v>#REF!</v>
      </c>
    </row>
    <row r="120" spans="1:20" ht="63" x14ac:dyDescent="0.2">
      <c r="A120" s="63" t="s">
        <v>458</v>
      </c>
      <c r="B120" s="63" t="s">
        <v>506</v>
      </c>
      <c r="C120" s="63" t="s">
        <v>914</v>
      </c>
      <c r="D120" s="63"/>
      <c r="E120" s="74" t="s">
        <v>697</v>
      </c>
      <c r="F120" s="65">
        <f>F121</f>
        <v>202500</v>
      </c>
      <c r="G120" s="66">
        <f t="shared" si="11"/>
        <v>-52500</v>
      </c>
      <c r="H120" s="100">
        <f>H121</f>
        <v>150000</v>
      </c>
      <c r="J120" s="63" t="s">
        <v>458</v>
      </c>
      <c r="K120" s="63" t="s">
        <v>506</v>
      </c>
      <c r="L120" s="63" t="s">
        <v>914</v>
      </c>
      <c r="M120" s="63"/>
      <c r="N120" s="74" t="s">
        <v>697</v>
      </c>
      <c r="O120" s="65">
        <f t="shared" ref="O120:T120" si="28">O121</f>
        <v>202500</v>
      </c>
      <c r="P120" s="66">
        <f t="shared" si="13"/>
        <v>-52500</v>
      </c>
      <c r="Q120" s="100">
        <f t="shared" si="28"/>
        <v>150000</v>
      </c>
      <c r="R120" s="100">
        <f t="shared" si="28"/>
        <v>150000</v>
      </c>
      <c r="S120" s="66">
        <f t="shared" si="14"/>
        <v>-150000</v>
      </c>
      <c r="T120" s="65">
        <f t="shared" si="28"/>
        <v>0</v>
      </c>
    </row>
    <row r="121" spans="1:20" ht="31.5" x14ac:dyDescent="0.2">
      <c r="A121" s="63" t="s">
        <v>458</v>
      </c>
      <c r="B121" s="63" t="s">
        <v>506</v>
      </c>
      <c r="C121" s="63" t="s">
        <v>914</v>
      </c>
      <c r="D121" s="63" t="s">
        <v>423</v>
      </c>
      <c r="E121" s="74" t="s">
        <v>434</v>
      </c>
      <c r="F121" s="65">
        <f>83000+4500+70000+45000</f>
        <v>202500</v>
      </c>
      <c r="G121" s="66">
        <f t="shared" si="11"/>
        <v>-52500</v>
      </c>
      <c r="H121" s="100">
        <f>50000+30000+70000</f>
        <v>150000</v>
      </c>
      <c r="J121" s="63" t="s">
        <v>458</v>
      </c>
      <c r="K121" s="63" t="s">
        <v>506</v>
      </c>
      <c r="L121" s="63" t="s">
        <v>914</v>
      </c>
      <c r="M121" s="63" t="s">
        <v>423</v>
      </c>
      <c r="N121" s="74" t="s">
        <v>434</v>
      </c>
      <c r="O121" s="65">
        <f>83000+4500+70000+45000</f>
        <v>202500</v>
      </c>
      <c r="P121" s="66">
        <f t="shared" si="13"/>
        <v>-52500</v>
      </c>
      <c r="Q121" s="100">
        <f>50000+30000+70000</f>
        <v>150000</v>
      </c>
      <c r="R121" s="100">
        <f>50000+30000+70000</f>
        <v>150000</v>
      </c>
      <c r="S121" s="66">
        <f t="shared" si="14"/>
        <v>-150000</v>
      </c>
      <c r="T121" s="65"/>
    </row>
    <row r="122" spans="1:20" ht="31.5" x14ac:dyDescent="0.2">
      <c r="A122" s="63" t="s">
        <v>458</v>
      </c>
      <c r="B122" s="63" t="s">
        <v>698</v>
      </c>
      <c r="C122" s="63"/>
      <c r="D122" s="63"/>
      <c r="E122" s="74" t="s">
        <v>440</v>
      </c>
      <c r="F122" s="65">
        <f>F124+F127</f>
        <v>698520</v>
      </c>
      <c r="G122" s="66">
        <f t="shared" si="11"/>
        <v>106580</v>
      </c>
      <c r="H122" s="100">
        <f>H124+H127</f>
        <v>805100</v>
      </c>
      <c r="J122" s="63" t="s">
        <v>458</v>
      </c>
      <c r="K122" s="63" t="s">
        <v>698</v>
      </c>
      <c r="L122" s="63"/>
      <c r="M122" s="63"/>
      <c r="N122" s="74" t="s">
        <v>440</v>
      </c>
      <c r="O122" s="65">
        <f t="shared" ref="O122:T122" si="29">O124+O127</f>
        <v>698520</v>
      </c>
      <c r="P122" s="66">
        <f t="shared" si="13"/>
        <v>141080</v>
      </c>
      <c r="Q122" s="100">
        <f t="shared" si="29"/>
        <v>839600</v>
      </c>
      <c r="R122" s="100">
        <f t="shared" si="29"/>
        <v>790400</v>
      </c>
      <c r="S122" s="66">
        <f t="shared" si="14"/>
        <v>-790400</v>
      </c>
      <c r="T122" s="65">
        <f t="shared" si="29"/>
        <v>0</v>
      </c>
    </row>
    <row r="123" spans="1:20" ht="74.25" customHeight="1" x14ac:dyDescent="0.2">
      <c r="A123" s="63" t="s">
        <v>458</v>
      </c>
      <c r="B123" s="63" t="s">
        <v>698</v>
      </c>
      <c r="C123" s="63" t="s">
        <v>791</v>
      </c>
      <c r="D123" s="63"/>
      <c r="E123" s="74" t="s">
        <v>792</v>
      </c>
      <c r="F123" s="65">
        <f t="shared" ref="F123:H124" si="30">F124</f>
        <v>0</v>
      </c>
      <c r="G123" s="66">
        <f t="shared" si="11"/>
        <v>0</v>
      </c>
      <c r="H123" s="100">
        <f t="shared" si="30"/>
        <v>0</v>
      </c>
      <c r="J123" s="63" t="s">
        <v>458</v>
      </c>
      <c r="K123" s="63" t="s">
        <v>698</v>
      </c>
      <c r="L123" s="63" t="s">
        <v>791</v>
      </c>
      <c r="M123" s="63"/>
      <c r="N123" s="74" t="s">
        <v>792</v>
      </c>
      <c r="O123" s="65">
        <f t="shared" ref="O123:T124" si="31">O124</f>
        <v>0</v>
      </c>
      <c r="P123" s="66">
        <f t="shared" si="13"/>
        <v>0</v>
      </c>
      <c r="Q123" s="100">
        <f t="shared" si="31"/>
        <v>0</v>
      </c>
      <c r="R123" s="100">
        <f t="shared" si="31"/>
        <v>0</v>
      </c>
      <c r="S123" s="66">
        <f t="shared" si="14"/>
        <v>0</v>
      </c>
      <c r="T123" s="65">
        <f t="shared" si="31"/>
        <v>0</v>
      </c>
    </row>
    <row r="124" spans="1:20" ht="83.25" customHeight="1" x14ac:dyDescent="0.2">
      <c r="A124" s="63" t="s">
        <v>458</v>
      </c>
      <c r="B124" s="63" t="s">
        <v>698</v>
      </c>
      <c r="C124" s="63" t="s">
        <v>793</v>
      </c>
      <c r="D124" s="63"/>
      <c r="E124" s="74" t="s">
        <v>699</v>
      </c>
      <c r="F124" s="65">
        <f t="shared" si="30"/>
        <v>0</v>
      </c>
      <c r="G124" s="66">
        <f t="shared" si="11"/>
        <v>0</v>
      </c>
      <c r="H124" s="100">
        <f t="shared" si="30"/>
        <v>0</v>
      </c>
      <c r="J124" s="63" t="s">
        <v>458</v>
      </c>
      <c r="K124" s="63" t="s">
        <v>698</v>
      </c>
      <c r="L124" s="63" t="s">
        <v>793</v>
      </c>
      <c r="M124" s="63"/>
      <c r="N124" s="74" t="s">
        <v>699</v>
      </c>
      <c r="O124" s="65">
        <f t="shared" si="31"/>
        <v>0</v>
      </c>
      <c r="P124" s="66">
        <f t="shared" si="13"/>
        <v>0</v>
      </c>
      <c r="Q124" s="100">
        <f t="shared" si="31"/>
        <v>0</v>
      </c>
      <c r="R124" s="100">
        <f t="shared" si="31"/>
        <v>0</v>
      </c>
      <c r="S124" s="66">
        <f t="shared" si="14"/>
        <v>0</v>
      </c>
      <c r="T124" s="65">
        <f t="shared" si="31"/>
        <v>0</v>
      </c>
    </row>
    <row r="125" spans="1:20" x14ac:dyDescent="0.2">
      <c r="A125" s="63" t="s">
        <v>458</v>
      </c>
      <c r="B125" s="63" t="s">
        <v>698</v>
      </c>
      <c r="C125" s="63" t="s">
        <v>793</v>
      </c>
      <c r="D125" s="63" t="s">
        <v>700</v>
      </c>
      <c r="E125" s="74" t="s">
        <v>701</v>
      </c>
      <c r="F125" s="65">
        <v>0</v>
      </c>
      <c r="G125" s="66">
        <f t="shared" si="11"/>
        <v>0</v>
      </c>
      <c r="H125" s="100">
        <v>0</v>
      </c>
      <c r="J125" s="63" t="s">
        <v>458</v>
      </c>
      <c r="K125" s="63" t="s">
        <v>698</v>
      </c>
      <c r="L125" s="63" t="s">
        <v>793</v>
      </c>
      <c r="M125" s="63" t="s">
        <v>700</v>
      </c>
      <c r="N125" s="74" t="s">
        <v>701</v>
      </c>
      <c r="O125" s="65">
        <v>0</v>
      </c>
      <c r="P125" s="66">
        <f t="shared" si="13"/>
        <v>0</v>
      </c>
      <c r="Q125" s="100">
        <v>0</v>
      </c>
      <c r="R125" s="100">
        <v>0</v>
      </c>
      <c r="S125" s="66">
        <f t="shared" si="14"/>
        <v>0</v>
      </c>
      <c r="T125" s="65">
        <v>0</v>
      </c>
    </row>
    <row r="126" spans="1:20" ht="58.5" customHeight="1" x14ac:dyDescent="0.2">
      <c r="A126" s="63" t="s">
        <v>458</v>
      </c>
      <c r="B126" s="63" t="s">
        <v>698</v>
      </c>
      <c r="C126" s="63" t="s">
        <v>794</v>
      </c>
      <c r="D126" s="63"/>
      <c r="E126" s="74" t="s">
        <v>795</v>
      </c>
      <c r="F126" s="65">
        <f>F127</f>
        <v>698520</v>
      </c>
      <c r="G126" s="66">
        <f t="shared" si="11"/>
        <v>106580</v>
      </c>
      <c r="H126" s="100">
        <f>H127</f>
        <v>805100</v>
      </c>
      <c r="J126" s="63" t="s">
        <v>458</v>
      </c>
      <c r="K126" s="63" t="s">
        <v>698</v>
      </c>
      <c r="L126" s="63" t="s">
        <v>794</v>
      </c>
      <c r="M126" s="63"/>
      <c r="N126" s="74" t="s">
        <v>795</v>
      </c>
      <c r="O126" s="65">
        <f t="shared" ref="O126:T126" si="32">O127</f>
        <v>698520</v>
      </c>
      <c r="P126" s="66">
        <f t="shared" si="13"/>
        <v>141080</v>
      </c>
      <c r="Q126" s="100">
        <f t="shared" si="32"/>
        <v>839600</v>
      </c>
      <c r="R126" s="100">
        <f t="shared" si="32"/>
        <v>790400</v>
      </c>
      <c r="S126" s="66">
        <f t="shared" si="14"/>
        <v>-790400</v>
      </c>
      <c r="T126" s="65">
        <f t="shared" si="32"/>
        <v>0</v>
      </c>
    </row>
    <row r="127" spans="1:20" ht="62.25" customHeight="1" x14ac:dyDescent="0.2">
      <c r="A127" s="63" t="s">
        <v>458</v>
      </c>
      <c r="B127" s="63" t="s">
        <v>698</v>
      </c>
      <c r="C127" s="63" t="s">
        <v>796</v>
      </c>
      <c r="D127" s="63"/>
      <c r="E127" s="74" t="s">
        <v>797</v>
      </c>
      <c r="F127" s="65">
        <f>F128+F129+F131+F130</f>
        <v>698520</v>
      </c>
      <c r="G127" s="66">
        <f t="shared" si="11"/>
        <v>106580</v>
      </c>
      <c r="H127" s="100">
        <f>H128+H129+H131+H130</f>
        <v>805100</v>
      </c>
      <c r="J127" s="63" t="s">
        <v>458</v>
      </c>
      <c r="K127" s="63" t="s">
        <v>698</v>
      </c>
      <c r="L127" s="63" t="s">
        <v>796</v>
      </c>
      <c r="M127" s="63"/>
      <c r="N127" s="74" t="s">
        <v>797</v>
      </c>
      <c r="O127" s="65">
        <f t="shared" ref="O127:T127" si="33">O128+O129+O131+O130</f>
        <v>698520</v>
      </c>
      <c r="P127" s="66">
        <f t="shared" si="13"/>
        <v>141080</v>
      </c>
      <c r="Q127" s="100">
        <f>Q128+Q129+Q131+Q130</f>
        <v>839600</v>
      </c>
      <c r="R127" s="100">
        <f t="shared" si="33"/>
        <v>790400</v>
      </c>
      <c r="S127" s="66">
        <f t="shared" si="14"/>
        <v>-790400</v>
      </c>
      <c r="T127" s="65">
        <f t="shared" si="33"/>
        <v>0</v>
      </c>
    </row>
    <row r="128" spans="1:20" ht="21" x14ac:dyDescent="0.2">
      <c r="A128" s="63" t="s">
        <v>458</v>
      </c>
      <c r="B128" s="63" t="s">
        <v>698</v>
      </c>
      <c r="C128" s="63" t="s">
        <v>796</v>
      </c>
      <c r="D128" s="63">
        <v>121</v>
      </c>
      <c r="E128" s="74" t="s">
        <v>431</v>
      </c>
      <c r="F128" s="66">
        <f>536500+162020</f>
        <v>698520</v>
      </c>
      <c r="G128" s="66">
        <f t="shared" si="11"/>
        <v>69380</v>
      </c>
      <c r="H128" s="99">
        <f>589800+178100</f>
        <v>767900</v>
      </c>
      <c r="J128" s="63" t="s">
        <v>458</v>
      </c>
      <c r="K128" s="63" t="s">
        <v>698</v>
      </c>
      <c r="L128" s="63" t="s">
        <v>796</v>
      </c>
      <c r="M128" s="63">
        <v>121</v>
      </c>
      <c r="N128" s="74" t="s">
        <v>431</v>
      </c>
      <c r="O128" s="66">
        <f>536500+162020</f>
        <v>698520</v>
      </c>
      <c r="P128" s="66">
        <f t="shared" si="13"/>
        <v>69380</v>
      </c>
      <c r="Q128" s="99">
        <f>589800+178100</f>
        <v>767900</v>
      </c>
      <c r="R128" s="99">
        <f>589800+178100</f>
        <v>767900</v>
      </c>
      <c r="S128" s="66">
        <f t="shared" si="14"/>
        <v>-767900</v>
      </c>
      <c r="T128" s="66"/>
    </row>
    <row r="129" spans="1:20" ht="31.5" x14ac:dyDescent="0.2">
      <c r="A129" s="63" t="s">
        <v>458</v>
      </c>
      <c r="B129" s="63" t="s">
        <v>698</v>
      </c>
      <c r="C129" s="63" t="s">
        <v>796</v>
      </c>
      <c r="D129" s="63" t="s">
        <v>425</v>
      </c>
      <c r="E129" s="74" t="s">
        <v>432</v>
      </c>
      <c r="F129" s="66">
        <v>0</v>
      </c>
      <c r="G129" s="66">
        <f t="shared" si="11"/>
        <v>0</v>
      </c>
      <c r="H129" s="99">
        <v>0</v>
      </c>
      <c r="J129" s="63" t="s">
        <v>458</v>
      </c>
      <c r="K129" s="63" t="s">
        <v>698</v>
      </c>
      <c r="L129" s="63" t="s">
        <v>796</v>
      </c>
      <c r="M129" s="63" t="s">
        <v>425</v>
      </c>
      <c r="N129" s="74" t="s">
        <v>432</v>
      </c>
      <c r="O129" s="66">
        <v>0</v>
      </c>
      <c r="P129" s="66">
        <f t="shared" si="13"/>
        <v>7500</v>
      </c>
      <c r="Q129" s="99">
        <f>2500+2500+2500</f>
        <v>7500</v>
      </c>
      <c r="R129" s="99">
        <v>0</v>
      </c>
      <c r="S129" s="66">
        <f t="shared" si="14"/>
        <v>0</v>
      </c>
      <c r="T129" s="66">
        <v>0</v>
      </c>
    </row>
    <row r="130" spans="1:20" ht="31.5" x14ac:dyDescent="0.2">
      <c r="A130" s="63" t="s">
        <v>458</v>
      </c>
      <c r="B130" s="63" t="s">
        <v>698</v>
      </c>
      <c r="C130" s="63" t="s">
        <v>796</v>
      </c>
      <c r="D130" s="63" t="s">
        <v>427</v>
      </c>
      <c r="E130" s="74" t="s">
        <v>433</v>
      </c>
      <c r="F130" s="65">
        <v>0</v>
      </c>
      <c r="G130" s="66">
        <f t="shared" si="11"/>
        <v>22500</v>
      </c>
      <c r="H130" s="100">
        <f>22500</f>
        <v>22500</v>
      </c>
      <c r="J130" s="63" t="s">
        <v>458</v>
      </c>
      <c r="K130" s="63" t="s">
        <v>698</v>
      </c>
      <c r="L130" s="63" t="s">
        <v>796</v>
      </c>
      <c r="M130" s="63" t="s">
        <v>427</v>
      </c>
      <c r="N130" s="74" t="s">
        <v>433</v>
      </c>
      <c r="O130" s="65">
        <v>0</v>
      </c>
      <c r="P130" s="66">
        <f t="shared" si="13"/>
        <v>22500</v>
      </c>
      <c r="Q130" s="100">
        <f>22500</f>
        <v>22500</v>
      </c>
      <c r="R130" s="100">
        <f>22500</f>
        <v>22500</v>
      </c>
      <c r="S130" s="66">
        <f t="shared" si="14"/>
        <v>-22500</v>
      </c>
      <c r="T130" s="65">
        <v>0</v>
      </c>
    </row>
    <row r="131" spans="1:20" ht="31.5" x14ac:dyDescent="0.2">
      <c r="A131" s="63" t="s">
        <v>458</v>
      </c>
      <c r="B131" s="63" t="s">
        <v>698</v>
      </c>
      <c r="C131" s="63" t="s">
        <v>796</v>
      </c>
      <c r="D131" s="63" t="s">
        <v>423</v>
      </c>
      <c r="E131" s="74" t="s">
        <v>434</v>
      </c>
      <c r="F131" s="65">
        <v>0</v>
      </c>
      <c r="G131" s="66">
        <f t="shared" ref="G131:G194" si="34">H131-F131</f>
        <v>14700</v>
      </c>
      <c r="H131" s="100">
        <f>1700+8000+5000</f>
        <v>14700</v>
      </c>
      <c r="J131" s="63" t="s">
        <v>458</v>
      </c>
      <c r="K131" s="63" t="s">
        <v>698</v>
      </c>
      <c r="L131" s="63" t="s">
        <v>796</v>
      </c>
      <c r="M131" s="63" t="s">
        <v>423</v>
      </c>
      <c r="N131" s="74" t="s">
        <v>434</v>
      </c>
      <c r="O131" s="65">
        <v>0</v>
      </c>
      <c r="P131" s="66">
        <f t="shared" ref="P131:P194" si="35">Q131-O131</f>
        <v>41700</v>
      </c>
      <c r="Q131" s="100">
        <f>1700+20000+20000</f>
        <v>41700</v>
      </c>
      <c r="R131" s="100">
        <v>0</v>
      </c>
      <c r="S131" s="66">
        <f t="shared" ref="S131:S194" si="36">T131-R131</f>
        <v>0</v>
      </c>
      <c r="T131" s="65">
        <v>0</v>
      </c>
    </row>
    <row r="132" spans="1:20" ht="21" x14ac:dyDescent="0.2">
      <c r="A132" s="63" t="s">
        <v>458</v>
      </c>
      <c r="B132" s="63" t="s">
        <v>512</v>
      </c>
      <c r="C132" s="63"/>
      <c r="D132" s="63"/>
      <c r="E132" s="74" t="s">
        <v>513</v>
      </c>
      <c r="F132" s="66" t="e">
        <f>F136+#REF!+F144+F146</f>
        <v>#REF!</v>
      </c>
      <c r="G132" s="66" t="e">
        <f t="shared" si="34"/>
        <v>#REF!</v>
      </c>
      <c r="H132" s="99">
        <f>H136+H134+H144+H146</f>
        <v>2185900</v>
      </c>
      <c r="J132" s="63" t="s">
        <v>458</v>
      </c>
      <c r="K132" s="63" t="s">
        <v>512</v>
      </c>
      <c r="L132" s="63"/>
      <c r="M132" s="63"/>
      <c r="N132" s="74" t="s">
        <v>513</v>
      </c>
      <c r="O132" s="66" t="e">
        <f>#REF!+#REF!+O136+#REF!+O144+O146</f>
        <v>#REF!</v>
      </c>
      <c r="P132" s="66" t="e">
        <f t="shared" si="35"/>
        <v>#REF!</v>
      </c>
      <c r="Q132" s="99">
        <f>Q136+Q134+Q144+Q146</f>
        <v>2187400</v>
      </c>
      <c r="R132" s="99">
        <f>R136+R134+R144+R146</f>
        <v>1884400</v>
      </c>
      <c r="S132" s="66" t="e">
        <f t="shared" si="36"/>
        <v>#REF!</v>
      </c>
      <c r="T132" s="66" t="e">
        <f>#REF!+#REF!+T136+#REF!+T144+T146</f>
        <v>#REF!</v>
      </c>
    </row>
    <row r="133" spans="1:20" ht="63.75" customHeight="1" x14ac:dyDescent="0.2">
      <c r="A133" s="63" t="s">
        <v>458</v>
      </c>
      <c r="B133" s="63" t="s">
        <v>512</v>
      </c>
      <c r="C133" s="63" t="s">
        <v>798</v>
      </c>
      <c r="D133" s="63"/>
      <c r="E133" s="74" t="s">
        <v>799</v>
      </c>
      <c r="F133" s="65" t="e">
        <f>F136+#REF!</f>
        <v>#REF!</v>
      </c>
      <c r="G133" s="66" t="e">
        <f t="shared" si="34"/>
        <v>#REF!</v>
      </c>
      <c r="H133" s="100">
        <f>H136+H134</f>
        <v>2040900</v>
      </c>
      <c r="I133" s="83"/>
      <c r="J133" s="63" t="s">
        <v>458</v>
      </c>
      <c r="K133" s="63" t="s">
        <v>512</v>
      </c>
      <c r="L133" s="63" t="s">
        <v>798</v>
      </c>
      <c r="M133" s="63"/>
      <c r="N133" s="74" t="s">
        <v>799</v>
      </c>
      <c r="O133" s="65" t="e">
        <f>O136+#REF!</f>
        <v>#REF!</v>
      </c>
      <c r="P133" s="66" t="e">
        <f t="shared" si="35"/>
        <v>#REF!</v>
      </c>
      <c r="Q133" s="100">
        <f>Q136+Q134</f>
        <v>2042400</v>
      </c>
      <c r="R133" s="100">
        <f>R136+R134</f>
        <v>1884400</v>
      </c>
      <c r="S133" s="66" t="e">
        <f t="shared" si="36"/>
        <v>#REF!</v>
      </c>
      <c r="T133" s="65" t="e">
        <f>T136+#REF!</f>
        <v>#REF!</v>
      </c>
    </row>
    <row r="134" spans="1:20" ht="50.25" customHeight="1" x14ac:dyDescent="0.2">
      <c r="A134" s="63" t="s">
        <v>458</v>
      </c>
      <c r="B134" s="63" t="s">
        <v>512</v>
      </c>
      <c r="C134" s="63" t="s">
        <v>916</v>
      </c>
      <c r="D134" s="63"/>
      <c r="E134" s="74" t="s">
        <v>800</v>
      </c>
      <c r="F134" s="65">
        <f>F135</f>
        <v>168057</v>
      </c>
      <c r="G134" s="66">
        <f t="shared" si="34"/>
        <v>3943</v>
      </c>
      <c r="H134" s="100">
        <f>H135</f>
        <v>172000</v>
      </c>
      <c r="I134" s="83"/>
      <c r="J134" s="63" t="s">
        <v>458</v>
      </c>
      <c r="K134" s="63" t="s">
        <v>512</v>
      </c>
      <c r="L134" s="63" t="s">
        <v>916</v>
      </c>
      <c r="M134" s="63"/>
      <c r="N134" s="74" t="s">
        <v>800</v>
      </c>
      <c r="O134" s="65">
        <f>O135</f>
        <v>168057</v>
      </c>
      <c r="P134" s="66">
        <f t="shared" si="35"/>
        <v>3943</v>
      </c>
      <c r="Q134" s="100">
        <f>Q135</f>
        <v>172000</v>
      </c>
      <c r="R134" s="100">
        <f>R135</f>
        <v>172000</v>
      </c>
      <c r="S134" s="66"/>
      <c r="T134" s="65"/>
    </row>
    <row r="135" spans="1:20" ht="21" x14ac:dyDescent="0.2">
      <c r="A135" s="63" t="s">
        <v>458</v>
      </c>
      <c r="B135" s="63" t="s">
        <v>512</v>
      </c>
      <c r="C135" s="63" t="s">
        <v>916</v>
      </c>
      <c r="D135" s="63" t="s">
        <v>424</v>
      </c>
      <c r="E135" s="74" t="s">
        <v>431</v>
      </c>
      <c r="F135" s="65">
        <f>129077+38980</f>
        <v>168057</v>
      </c>
      <c r="G135" s="66">
        <f t="shared" si="34"/>
        <v>3943</v>
      </c>
      <c r="H135" s="100">
        <f>132000+40000</f>
        <v>172000</v>
      </c>
      <c r="I135" s="83"/>
      <c r="J135" s="63" t="s">
        <v>458</v>
      </c>
      <c r="K135" s="63" t="s">
        <v>512</v>
      </c>
      <c r="L135" s="63" t="s">
        <v>916</v>
      </c>
      <c r="M135" s="63" t="s">
        <v>424</v>
      </c>
      <c r="N135" s="74" t="s">
        <v>431</v>
      </c>
      <c r="O135" s="65">
        <f>129077+38980</f>
        <v>168057</v>
      </c>
      <c r="P135" s="66">
        <f t="shared" si="35"/>
        <v>3943</v>
      </c>
      <c r="Q135" s="100">
        <f>132000+40000</f>
        <v>172000</v>
      </c>
      <c r="R135" s="100">
        <f>132000+40000</f>
        <v>172000</v>
      </c>
      <c r="S135" s="66"/>
      <c r="T135" s="65"/>
    </row>
    <row r="136" spans="1:20" ht="60" customHeight="1" x14ac:dyDescent="0.2">
      <c r="A136" s="63" t="s">
        <v>458</v>
      </c>
      <c r="B136" s="63" t="s">
        <v>512</v>
      </c>
      <c r="C136" s="63" t="s">
        <v>915</v>
      </c>
      <c r="D136" s="63"/>
      <c r="E136" s="74" t="s">
        <v>703</v>
      </c>
      <c r="F136" s="66">
        <f>F137+F138+F139+F140+F141+F142</f>
        <v>2016020</v>
      </c>
      <c r="G136" s="66">
        <f t="shared" si="34"/>
        <v>-147120</v>
      </c>
      <c r="H136" s="99">
        <f>H137+H138+H139+H140+H141+H142</f>
        <v>1868900</v>
      </c>
      <c r="I136" s="83"/>
      <c r="J136" s="63" t="s">
        <v>458</v>
      </c>
      <c r="K136" s="63" t="s">
        <v>512</v>
      </c>
      <c r="L136" s="63" t="s">
        <v>915</v>
      </c>
      <c r="M136" s="63"/>
      <c r="N136" s="74" t="s">
        <v>703</v>
      </c>
      <c r="O136" s="66">
        <f t="shared" ref="O136:T136" si="37">O137+O138+O139+O140+O141+O142</f>
        <v>2016020</v>
      </c>
      <c r="P136" s="66">
        <f t="shared" si="35"/>
        <v>-145620</v>
      </c>
      <c r="Q136" s="99">
        <f>Q137+Q138+Q139+Q140+Q141+Q142</f>
        <v>1870400</v>
      </c>
      <c r="R136" s="99">
        <f t="shared" si="37"/>
        <v>1712400</v>
      </c>
      <c r="S136" s="66">
        <f t="shared" si="36"/>
        <v>-1712400</v>
      </c>
      <c r="T136" s="66">
        <f t="shared" si="37"/>
        <v>0</v>
      </c>
    </row>
    <row r="137" spans="1:20" ht="21" x14ac:dyDescent="0.2">
      <c r="A137" s="63" t="s">
        <v>458</v>
      </c>
      <c r="B137" s="63" t="s">
        <v>512</v>
      </c>
      <c r="C137" s="63" t="s">
        <v>915</v>
      </c>
      <c r="D137" s="63" t="s">
        <v>424</v>
      </c>
      <c r="E137" s="74" t="s">
        <v>431</v>
      </c>
      <c r="F137" s="66">
        <v>1954620</v>
      </c>
      <c r="G137" s="66">
        <f t="shared" si="34"/>
        <v>-238120</v>
      </c>
      <c r="H137" s="99">
        <f>1318200+398300</f>
        <v>1716500</v>
      </c>
      <c r="I137" s="83"/>
      <c r="J137" s="63" t="s">
        <v>458</v>
      </c>
      <c r="K137" s="63" t="s">
        <v>512</v>
      </c>
      <c r="L137" s="63" t="s">
        <v>915</v>
      </c>
      <c r="M137" s="63" t="s">
        <v>424</v>
      </c>
      <c r="N137" s="74" t="s">
        <v>431</v>
      </c>
      <c r="O137" s="66">
        <v>1954620</v>
      </c>
      <c r="P137" s="66">
        <f t="shared" si="35"/>
        <v>-295620</v>
      </c>
      <c r="Q137" s="99">
        <f>1274000+385000</f>
        <v>1659000</v>
      </c>
      <c r="R137" s="99">
        <f>1274000+385000</f>
        <v>1659000</v>
      </c>
      <c r="S137" s="66">
        <f t="shared" si="36"/>
        <v>-1659000</v>
      </c>
      <c r="T137" s="66"/>
    </row>
    <row r="138" spans="1:20" ht="31.5" x14ac:dyDescent="0.2">
      <c r="A138" s="63" t="s">
        <v>458</v>
      </c>
      <c r="B138" s="63" t="s">
        <v>512</v>
      </c>
      <c r="C138" s="63" t="s">
        <v>915</v>
      </c>
      <c r="D138" s="63">
        <v>122</v>
      </c>
      <c r="E138" s="74" t="s">
        <v>432</v>
      </c>
      <c r="F138" s="66">
        <v>53000</v>
      </c>
      <c r="G138" s="66">
        <f t="shared" si="34"/>
        <v>-28000</v>
      </c>
      <c r="H138" s="99">
        <f>5000+20000</f>
        <v>25000</v>
      </c>
      <c r="I138" s="83"/>
      <c r="J138" s="63" t="s">
        <v>458</v>
      </c>
      <c r="K138" s="63" t="s">
        <v>512</v>
      </c>
      <c r="L138" s="63" t="s">
        <v>915</v>
      </c>
      <c r="M138" s="63">
        <v>122</v>
      </c>
      <c r="N138" s="74" t="s">
        <v>432</v>
      </c>
      <c r="O138" s="66">
        <v>53000</v>
      </c>
      <c r="P138" s="66">
        <f t="shared" si="35"/>
        <v>-3000</v>
      </c>
      <c r="Q138" s="99">
        <f>10000+40000</f>
        <v>50000</v>
      </c>
      <c r="R138" s="99"/>
      <c r="S138" s="66">
        <f t="shared" si="36"/>
        <v>0</v>
      </c>
      <c r="T138" s="66"/>
    </row>
    <row r="139" spans="1:20" ht="31.5" x14ac:dyDescent="0.2">
      <c r="A139" s="63" t="s">
        <v>458</v>
      </c>
      <c r="B139" s="63" t="s">
        <v>512</v>
      </c>
      <c r="C139" s="63" t="s">
        <v>915</v>
      </c>
      <c r="D139" s="63">
        <v>242</v>
      </c>
      <c r="E139" s="74" t="s">
        <v>433</v>
      </c>
      <c r="F139" s="65">
        <v>0</v>
      </c>
      <c r="G139" s="66">
        <f t="shared" si="34"/>
        <v>48000</v>
      </c>
      <c r="H139" s="100">
        <f>45000+2000+1000</f>
        <v>48000</v>
      </c>
      <c r="I139" s="83"/>
      <c r="J139" s="63" t="s">
        <v>458</v>
      </c>
      <c r="K139" s="63" t="s">
        <v>512</v>
      </c>
      <c r="L139" s="63" t="s">
        <v>915</v>
      </c>
      <c r="M139" s="63">
        <v>242</v>
      </c>
      <c r="N139" s="74" t="s">
        <v>433</v>
      </c>
      <c r="O139" s="65">
        <v>0</v>
      </c>
      <c r="P139" s="66">
        <f t="shared" si="35"/>
        <v>51000</v>
      </c>
      <c r="Q139" s="100">
        <f>45000+4000+2000</f>
        <v>51000</v>
      </c>
      <c r="R139" s="100">
        <v>45000</v>
      </c>
      <c r="S139" s="66">
        <f t="shared" si="36"/>
        <v>-45000</v>
      </c>
      <c r="T139" s="65">
        <v>0</v>
      </c>
    </row>
    <row r="140" spans="1:20" ht="31.5" x14ac:dyDescent="0.2">
      <c r="A140" s="63" t="s">
        <v>458</v>
      </c>
      <c r="B140" s="63" t="s">
        <v>512</v>
      </c>
      <c r="C140" s="63" t="s">
        <v>915</v>
      </c>
      <c r="D140" s="63">
        <v>244</v>
      </c>
      <c r="E140" s="74" t="s">
        <v>434</v>
      </c>
      <c r="F140" s="65">
        <v>0</v>
      </c>
      <c r="G140" s="66">
        <f t="shared" si="34"/>
        <v>71000</v>
      </c>
      <c r="H140" s="100">
        <f>1000+10000+60000</f>
        <v>71000</v>
      </c>
      <c r="I140" s="83"/>
      <c r="J140" s="63" t="s">
        <v>458</v>
      </c>
      <c r="K140" s="63" t="s">
        <v>512</v>
      </c>
      <c r="L140" s="63" t="s">
        <v>915</v>
      </c>
      <c r="M140" s="63">
        <v>244</v>
      </c>
      <c r="N140" s="74" t="s">
        <v>434</v>
      </c>
      <c r="O140" s="65">
        <v>0</v>
      </c>
      <c r="P140" s="66">
        <f t="shared" si="35"/>
        <v>102000</v>
      </c>
      <c r="Q140" s="100">
        <f>2000+20000+80000</f>
        <v>102000</v>
      </c>
      <c r="R140" s="100">
        <v>0</v>
      </c>
      <c r="S140" s="66">
        <f t="shared" si="36"/>
        <v>0</v>
      </c>
      <c r="T140" s="65">
        <v>0</v>
      </c>
    </row>
    <row r="141" spans="1:20" ht="31.5" x14ac:dyDescent="0.2">
      <c r="A141" s="63" t="s">
        <v>458</v>
      </c>
      <c r="B141" s="63" t="s">
        <v>512</v>
      </c>
      <c r="C141" s="63" t="s">
        <v>915</v>
      </c>
      <c r="D141" s="63" t="s">
        <v>330</v>
      </c>
      <c r="E141" s="74" t="s">
        <v>393</v>
      </c>
      <c r="F141" s="65">
        <v>6800</v>
      </c>
      <c r="G141" s="66">
        <f t="shared" si="34"/>
        <v>0</v>
      </c>
      <c r="H141" s="100">
        <v>6800</v>
      </c>
      <c r="I141" s="83"/>
      <c r="J141" s="63" t="s">
        <v>458</v>
      </c>
      <c r="K141" s="63" t="s">
        <v>512</v>
      </c>
      <c r="L141" s="63" t="s">
        <v>915</v>
      </c>
      <c r="M141" s="63" t="s">
        <v>330</v>
      </c>
      <c r="N141" s="74" t="s">
        <v>393</v>
      </c>
      <c r="O141" s="65">
        <v>6800</v>
      </c>
      <c r="P141" s="66">
        <f t="shared" si="35"/>
        <v>0</v>
      </c>
      <c r="Q141" s="100">
        <v>6800</v>
      </c>
      <c r="R141" s="100">
        <v>6800</v>
      </c>
      <c r="S141" s="66">
        <f t="shared" si="36"/>
        <v>-6800</v>
      </c>
      <c r="T141" s="65"/>
    </row>
    <row r="142" spans="1:20" x14ac:dyDescent="0.2">
      <c r="A142" s="63" t="s">
        <v>458</v>
      </c>
      <c r="B142" s="63" t="s">
        <v>512</v>
      </c>
      <c r="C142" s="63" t="s">
        <v>915</v>
      </c>
      <c r="D142" s="63">
        <v>852</v>
      </c>
      <c r="E142" s="74" t="s">
        <v>954</v>
      </c>
      <c r="F142" s="66">
        <v>1600</v>
      </c>
      <c r="G142" s="66">
        <f t="shared" si="34"/>
        <v>0</v>
      </c>
      <c r="H142" s="99">
        <v>1600</v>
      </c>
      <c r="I142" s="83"/>
      <c r="J142" s="63" t="s">
        <v>458</v>
      </c>
      <c r="K142" s="63" t="s">
        <v>512</v>
      </c>
      <c r="L142" s="63" t="s">
        <v>915</v>
      </c>
      <c r="M142" s="63">
        <v>852</v>
      </c>
      <c r="N142" s="74" t="s">
        <v>954</v>
      </c>
      <c r="O142" s="66">
        <v>1600</v>
      </c>
      <c r="P142" s="66">
        <f t="shared" si="35"/>
        <v>0</v>
      </c>
      <c r="Q142" s="99">
        <v>1600</v>
      </c>
      <c r="R142" s="99">
        <v>1600</v>
      </c>
      <c r="S142" s="66">
        <f t="shared" si="36"/>
        <v>-1600</v>
      </c>
      <c r="T142" s="66"/>
    </row>
    <row r="143" spans="1:20" ht="60" customHeight="1" x14ac:dyDescent="0.2">
      <c r="A143" s="63" t="s">
        <v>458</v>
      </c>
      <c r="B143" s="63" t="s">
        <v>512</v>
      </c>
      <c r="C143" s="63" t="s">
        <v>801</v>
      </c>
      <c r="D143" s="63"/>
      <c r="E143" s="74" t="s">
        <v>802</v>
      </c>
      <c r="F143" s="65">
        <f t="shared" ref="F143:H144" si="38">F144</f>
        <v>0</v>
      </c>
      <c r="G143" s="66">
        <f t="shared" si="34"/>
        <v>145000</v>
      </c>
      <c r="H143" s="100">
        <f t="shared" si="38"/>
        <v>145000</v>
      </c>
      <c r="I143" s="83"/>
      <c r="J143" s="63" t="s">
        <v>458</v>
      </c>
      <c r="K143" s="63" t="s">
        <v>512</v>
      </c>
      <c r="L143" s="63" t="s">
        <v>801</v>
      </c>
      <c r="M143" s="63"/>
      <c r="N143" s="74" t="s">
        <v>802</v>
      </c>
      <c r="O143" s="65">
        <f t="shared" ref="O143:T144" si="39">O144</f>
        <v>0</v>
      </c>
      <c r="P143" s="66">
        <f t="shared" si="35"/>
        <v>145000</v>
      </c>
      <c r="Q143" s="100">
        <f t="shared" si="39"/>
        <v>145000</v>
      </c>
      <c r="R143" s="100">
        <f t="shared" si="39"/>
        <v>0</v>
      </c>
      <c r="S143" s="66">
        <f t="shared" si="36"/>
        <v>0</v>
      </c>
      <c r="T143" s="65">
        <f t="shared" si="39"/>
        <v>0</v>
      </c>
    </row>
    <row r="144" spans="1:20" ht="68.25" customHeight="1" x14ac:dyDescent="0.2">
      <c r="A144" s="63" t="s">
        <v>458</v>
      </c>
      <c r="B144" s="63" t="s">
        <v>512</v>
      </c>
      <c r="C144" s="63" t="s">
        <v>704</v>
      </c>
      <c r="D144" s="63"/>
      <c r="E144" s="74" t="s">
        <v>803</v>
      </c>
      <c r="F144" s="65">
        <f t="shared" si="38"/>
        <v>0</v>
      </c>
      <c r="G144" s="66">
        <f t="shared" si="34"/>
        <v>145000</v>
      </c>
      <c r="H144" s="100">
        <f t="shared" si="38"/>
        <v>145000</v>
      </c>
      <c r="I144" s="83"/>
      <c r="J144" s="63" t="s">
        <v>458</v>
      </c>
      <c r="K144" s="63" t="s">
        <v>512</v>
      </c>
      <c r="L144" s="63" t="s">
        <v>704</v>
      </c>
      <c r="M144" s="63"/>
      <c r="N144" s="74" t="s">
        <v>803</v>
      </c>
      <c r="O144" s="65">
        <f t="shared" si="39"/>
        <v>0</v>
      </c>
      <c r="P144" s="66">
        <f t="shared" si="35"/>
        <v>145000</v>
      </c>
      <c r="Q144" s="100">
        <f t="shared" si="39"/>
        <v>145000</v>
      </c>
      <c r="R144" s="100">
        <f t="shared" si="39"/>
        <v>0</v>
      </c>
      <c r="S144" s="66">
        <f t="shared" si="36"/>
        <v>0</v>
      </c>
      <c r="T144" s="65">
        <f t="shared" si="39"/>
        <v>0</v>
      </c>
    </row>
    <row r="145" spans="1:20" ht="31.5" x14ac:dyDescent="0.2">
      <c r="A145" s="63" t="s">
        <v>458</v>
      </c>
      <c r="B145" s="63" t="s">
        <v>512</v>
      </c>
      <c r="C145" s="63" t="s">
        <v>704</v>
      </c>
      <c r="D145" s="63">
        <v>244</v>
      </c>
      <c r="E145" s="74" t="s">
        <v>434</v>
      </c>
      <c r="F145" s="65">
        <v>0</v>
      </c>
      <c r="G145" s="66">
        <f t="shared" si="34"/>
        <v>145000</v>
      </c>
      <c r="H145" s="100">
        <v>145000</v>
      </c>
      <c r="I145" s="83"/>
      <c r="J145" s="63" t="s">
        <v>458</v>
      </c>
      <c r="K145" s="63" t="s">
        <v>512</v>
      </c>
      <c r="L145" s="63" t="s">
        <v>704</v>
      </c>
      <c r="M145" s="63">
        <v>244</v>
      </c>
      <c r="N145" s="74" t="s">
        <v>434</v>
      </c>
      <c r="O145" s="65">
        <v>0</v>
      </c>
      <c r="P145" s="66">
        <f t="shared" si="35"/>
        <v>145000</v>
      </c>
      <c r="Q145" s="100">
        <v>145000</v>
      </c>
      <c r="R145" s="100">
        <v>0</v>
      </c>
      <c r="S145" s="66">
        <f t="shared" si="36"/>
        <v>0</v>
      </c>
      <c r="T145" s="65">
        <v>0</v>
      </c>
    </row>
    <row r="146" spans="1:20" ht="42" x14ac:dyDescent="0.2">
      <c r="A146" s="63" t="s">
        <v>458</v>
      </c>
      <c r="B146" s="63" t="s">
        <v>512</v>
      </c>
      <c r="C146" s="63" t="s">
        <v>705</v>
      </c>
      <c r="D146" s="63"/>
      <c r="E146" s="74" t="s">
        <v>706</v>
      </c>
      <c r="F146" s="65">
        <f>F147</f>
        <v>0</v>
      </c>
      <c r="G146" s="66">
        <f t="shared" si="34"/>
        <v>0</v>
      </c>
      <c r="H146" s="100">
        <f>H147</f>
        <v>0</v>
      </c>
      <c r="I146" s="83"/>
      <c r="J146" s="63" t="s">
        <v>458</v>
      </c>
      <c r="K146" s="63" t="s">
        <v>512</v>
      </c>
      <c r="L146" s="63" t="s">
        <v>705</v>
      </c>
      <c r="M146" s="63"/>
      <c r="N146" s="74" t="s">
        <v>706</v>
      </c>
      <c r="O146" s="65">
        <f t="shared" ref="O146:T146" si="40">O147</f>
        <v>0</v>
      </c>
      <c r="P146" s="66">
        <f t="shared" si="35"/>
        <v>0</v>
      </c>
      <c r="Q146" s="100">
        <f t="shared" si="40"/>
        <v>0</v>
      </c>
      <c r="R146" s="100">
        <f t="shared" si="40"/>
        <v>0</v>
      </c>
      <c r="S146" s="66">
        <f t="shared" si="36"/>
        <v>0</v>
      </c>
      <c r="T146" s="65">
        <f t="shared" si="40"/>
        <v>0</v>
      </c>
    </row>
    <row r="147" spans="1:20" ht="31.5" x14ac:dyDescent="0.2">
      <c r="A147" s="63" t="s">
        <v>458</v>
      </c>
      <c r="B147" s="63" t="s">
        <v>512</v>
      </c>
      <c r="C147" s="63" t="s">
        <v>705</v>
      </c>
      <c r="D147" s="63">
        <v>244</v>
      </c>
      <c r="E147" s="74" t="s">
        <v>434</v>
      </c>
      <c r="F147" s="67">
        <v>0</v>
      </c>
      <c r="G147" s="66">
        <f t="shared" si="34"/>
        <v>0</v>
      </c>
      <c r="H147" s="101">
        <v>0</v>
      </c>
      <c r="I147" s="83"/>
      <c r="J147" s="63" t="s">
        <v>458</v>
      </c>
      <c r="K147" s="63" t="s">
        <v>512</v>
      </c>
      <c r="L147" s="63" t="s">
        <v>705</v>
      </c>
      <c r="M147" s="63">
        <v>244</v>
      </c>
      <c r="N147" s="74" t="s">
        <v>434</v>
      </c>
      <c r="O147" s="67">
        <v>0</v>
      </c>
      <c r="P147" s="66">
        <f t="shared" si="35"/>
        <v>0</v>
      </c>
      <c r="Q147" s="101">
        <v>0</v>
      </c>
      <c r="R147" s="101">
        <v>0</v>
      </c>
      <c r="S147" s="66">
        <f t="shared" si="36"/>
        <v>0</v>
      </c>
      <c r="T147" s="67">
        <v>0</v>
      </c>
    </row>
    <row r="148" spans="1:20" ht="21" x14ac:dyDescent="0.2">
      <c r="A148" s="63" t="s">
        <v>458</v>
      </c>
      <c r="B148" s="63" t="s">
        <v>959</v>
      </c>
      <c r="C148" s="63"/>
      <c r="D148" s="63"/>
      <c r="E148" s="74" t="s">
        <v>960</v>
      </c>
      <c r="F148" s="67"/>
      <c r="G148" s="66"/>
      <c r="H148" s="101">
        <f>H149</f>
        <v>4538900</v>
      </c>
      <c r="I148" s="83"/>
      <c r="J148" s="63" t="s">
        <v>458</v>
      </c>
      <c r="K148" s="63" t="s">
        <v>959</v>
      </c>
      <c r="L148" s="63"/>
      <c r="M148" s="63"/>
      <c r="N148" s="74" t="s">
        <v>960</v>
      </c>
      <c r="O148" s="67"/>
      <c r="P148" s="66"/>
      <c r="Q148" s="101">
        <f>Q149</f>
        <v>5709300</v>
      </c>
      <c r="R148" s="101">
        <f>R149</f>
        <v>5657300</v>
      </c>
      <c r="S148" s="66"/>
      <c r="T148" s="67"/>
    </row>
    <row r="149" spans="1:20" ht="59.25" customHeight="1" x14ac:dyDescent="0.2">
      <c r="A149" s="63" t="s">
        <v>458</v>
      </c>
      <c r="B149" s="63" t="s">
        <v>959</v>
      </c>
      <c r="C149" s="63" t="s">
        <v>961</v>
      </c>
      <c r="D149" s="63"/>
      <c r="E149" s="74" t="s">
        <v>962</v>
      </c>
      <c r="F149" s="67"/>
      <c r="G149" s="66"/>
      <c r="H149" s="101">
        <f>H150</f>
        <v>4538900</v>
      </c>
      <c r="I149" s="83"/>
      <c r="J149" s="63" t="s">
        <v>458</v>
      </c>
      <c r="K149" s="63" t="s">
        <v>959</v>
      </c>
      <c r="L149" s="63" t="s">
        <v>961</v>
      </c>
      <c r="M149" s="63"/>
      <c r="N149" s="74" t="s">
        <v>962</v>
      </c>
      <c r="O149" s="67"/>
      <c r="P149" s="66"/>
      <c r="Q149" s="101">
        <f>Q150</f>
        <v>5709300</v>
      </c>
      <c r="R149" s="101">
        <f>R150</f>
        <v>5657300</v>
      </c>
      <c r="S149" s="66"/>
      <c r="T149" s="67"/>
    </row>
    <row r="150" spans="1:20" ht="31.5" x14ac:dyDescent="0.2">
      <c r="A150" s="63" t="s">
        <v>458</v>
      </c>
      <c r="B150" s="63" t="s">
        <v>959</v>
      </c>
      <c r="C150" s="63" t="s">
        <v>961</v>
      </c>
      <c r="D150" s="63">
        <v>244</v>
      </c>
      <c r="E150" s="74" t="s">
        <v>434</v>
      </c>
      <c r="F150" s="67"/>
      <c r="G150" s="66"/>
      <c r="H150" s="101">
        <v>4538900</v>
      </c>
      <c r="I150" s="83"/>
      <c r="J150" s="63" t="s">
        <v>458</v>
      </c>
      <c r="K150" s="63" t="s">
        <v>959</v>
      </c>
      <c r="L150" s="63" t="s">
        <v>961</v>
      </c>
      <c r="M150" s="63">
        <v>244</v>
      </c>
      <c r="N150" s="74" t="s">
        <v>434</v>
      </c>
      <c r="O150" s="67"/>
      <c r="P150" s="66"/>
      <c r="Q150" s="101">
        <v>5709300</v>
      </c>
      <c r="R150" s="101">
        <v>5657300</v>
      </c>
      <c r="S150" s="66"/>
      <c r="T150" s="67"/>
    </row>
    <row r="151" spans="1:20" ht="21" x14ac:dyDescent="0.2">
      <c r="A151" s="63" t="s">
        <v>458</v>
      </c>
      <c r="B151" s="63" t="s">
        <v>519</v>
      </c>
      <c r="C151" s="63"/>
      <c r="D151" s="63"/>
      <c r="E151" s="74" t="s">
        <v>520</v>
      </c>
      <c r="F151" s="66">
        <f>F153+F158+F161</f>
        <v>1361000</v>
      </c>
      <c r="G151" s="66">
        <f t="shared" si="34"/>
        <v>-981000</v>
      </c>
      <c r="H151" s="99">
        <f>H153+H158+H161+H155</f>
        <v>380000</v>
      </c>
      <c r="I151" s="83"/>
      <c r="J151" s="63" t="s">
        <v>458</v>
      </c>
      <c r="K151" s="63" t="s">
        <v>519</v>
      </c>
      <c r="L151" s="63"/>
      <c r="M151" s="63"/>
      <c r="N151" s="74" t="s">
        <v>520</v>
      </c>
      <c r="O151" s="66" t="e">
        <f>O153+O158+O161+#REF!+#REF!</f>
        <v>#REF!</v>
      </c>
      <c r="P151" s="66" t="e">
        <f t="shared" si="35"/>
        <v>#REF!</v>
      </c>
      <c r="Q151" s="99">
        <f>Q153+Q158+Q161+Q155</f>
        <v>380000</v>
      </c>
      <c r="R151" s="99">
        <f>R153+R158+R161+R155</f>
        <v>150000</v>
      </c>
      <c r="S151" s="66" t="e">
        <f t="shared" si="36"/>
        <v>#REF!</v>
      </c>
      <c r="T151" s="66" t="e">
        <f>T153+T158+T161+#REF!+#REF!</f>
        <v>#REF!</v>
      </c>
    </row>
    <row r="152" spans="1:20" ht="78.75" customHeight="1" x14ac:dyDescent="0.2">
      <c r="A152" s="63" t="s">
        <v>458</v>
      </c>
      <c r="B152" s="63" t="s">
        <v>519</v>
      </c>
      <c r="C152" s="63" t="s">
        <v>984</v>
      </c>
      <c r="D152" s="63"/>
      <c r="E152" s="74" t="s">
        <v>987</v>
      </c>
      <c r="F152" s="66">
        <f>F153</f>
        <v>0</v>
      </c>
      <c r="G152" s="66">
        <f t="shared" si="34"/>
        <v>150000</v>
      </c>
      <c r="H152" s="99">
        <f>H153+H155</f>
        <v>150000</v>
      </c>
      <c r="I152" s="83"/>
      <c r="J152" s="63" t="s">
        <v>458</v>
      </c>
      <c r="K152" s="63" t="s">
        <v>519</v>
      </c>
      <c r="L152" s="63" t="s">
        <v>804</v>
      </c>
      <c r="M152" s="63"/>
      <c r="N152" s="74" t="s">
        <v>987</v>
      </c>
      <c r="O152" s="66">
        <f>O153</f>
        <v>0</v>
      </c>
      <c r="P152" s="66">
        <f t="shared" si="35"/>
        <v>150000</v>
      </c>
      <c r="Q152" s="99">
        <f>Q153+Q155</f>
        <v>150000</v>
      </c>
      <c r="R152" s="99">
        <f>R153+R155</f>
        <v>150000</v>
      </c>
      <c r="S152" s="66">
        <f t="shared" si="36"/>
        <v>-150000</v>
      </c>
      <c r="T152" s="66">
        <f>T153</f>
        <v>0</v>
      </c>
    </row>
    <row r="153" spans="1:20" ht="84.75" customHeight="1" x14ac:dyDescent="0.2">
      <c r="A153" s="63" t="s">
        <v>458</v>
      </c>
      <c r="B153" s="63" t="s">
        <v>519</v>
      </c>
      <c r="C153" s="63" t="s">
        <v>985</v>
      </c>
      <c r="D153" s="63"/>
      <c r="E153" s="74" t="s">
        <v>988</v>
      </c>
      <c r="F153" s="66">
        <f>F154+F156</f>
        <v>0</v>
      </c>
      <c r="G153" s="66">
        <f t="shared" si="34"/>
        <v>100000</v>
      </c>
      <c r="H153" s="99">
        <f>H154</f>
        <v>100000</v>
      </c>
      <c r="I153" s="83"/>
      <c r="J153" s="63" t="s">
        <v>458</v>
      </c>
      <c r="K153" s="63" t="s">
        <v>519</v>
      </c>
      <c r="L153" s="63" t="s">
        <v>805</v>
      </c>
      <c r="M153" s="63"/>
      <c r="N153" s="74" t="s">
        <v>988</v>
      </c>
      <c r="O153" s="66">
        <f>O154+O156</f>
        <v>0</v>
      </c>
      <c r="P153" s="66">
        <f t="shared" si="35"/>
        <v>100000</v>
      </c>
      <c r="Q153" s="99">
        <f>Q154</f>
        <v>100000</v>
      </c>
      <c r="R153" s="99">
        <f>R154</f>
        <v>100000</v>
      </c>
      <c r="S153" s="66">
        <f t="shared" si="36"/>
        <v>-100000</v>
      </c>
      <c r="T153" s="66">
        <f>T154+T156</f>
        <v>0</v>
      </c>
    </row>
    <row r="154" spans="1:20" ht="52.5" x14ac:dyDescent="0.2">
      <c r="A154" s="63" t="s">
        <v>458</v>
      </c>
      <c r="B154" s="63" t="s">
        <v>519</v>
      </c>
      <c r="C154" s="63" t="s">
        <v>985</v>
      </c>
      <c r="D154" s="63">
        <v>810</v>
      </c>
      <c r="E154" s="74" t="s">
        <v>250</v>
      </c>
      <c r="F154" s="66">
        <v>0</v>
      </c>
      <c r="G154" s="66">
        <f t="shared" si="34"/>
        <v>100000</v>
      </c>
      <c r="H154" s="99">
        <v>100000</v>
      </c>
      <c r="I154" s="83"/>
      <c r="J154" s="63" t="s">
        <v>458</v>
      </c>
      <c r="K154" s="63" t="s">
        <v>519</v>
      </c>
      <c r="L154" s="63" t="s">
        <v>805</v>
      </c>
      <c r="M154" s="63">
        <v>810</v>
      </c>
      <c r="N154" s="74" t="s">
        <v>250</v>
      </c>
      <c r="O154" s="66">
        <v>0</v>
      </c>
      <c r="P154" s="66">
        <f t="shared" si="35"/>
        <v>100000</v>
      </c>
      <c r="Q154" s="99">
        <v>100000</v>
      </c>
      <c r="R154" s="99">
        <v>100000</v>
      </c>
      <c r="S154" s="66">
        <f t="shared" si="36"/>
        <v>-100000</v>
      </c>
      <c r="T154" s="66">
        <v>0</v>
      </c>
    </row>
    <row r="155" spans="1:20" ht="57.75" customHeight="1" x14ac:dyDescent="0.2">
      <c r="A155" s="63" t="s">
        <v>458</v>
      </c>
      <c r="B155" s="63" t="s">
        <v>519</v>
      </c>
      <c r="C155" s="63" t="s">
        <v>986</v>
      </c>
      <c r="D155" s="63"/>
      <c r="E155" s="74" t="s">
        <v>989</v>
      </c>
      <c r="F155" s="66"/>
      <c r="G155" s="66"/>
      <c r="H155" s="99">
        <f>H156</f>
        <v>50000</v>
      </c>
      <c r="I155" s="83"/>
      <c r="J155" s="63" t="s">
        <v>458</v>
      </c>
      <c r="K155" s="63" t="s">
        <v>519</v>
      </c>
      <c r="L155" s="63" t="s">
        <v>986</v>
      </c>
      <c r="M155" s="63"/>
      <c r="N155" s="74" t="s">
        <v>989</v>
      </c>
      <c r="O155" s="66"/>
      <c r="P155" s="66"/>
      <c r="Q155" s="99">
        <f>Q156</f>
        <v>50000</v>
      </c>
      <c r="R155" s="99">
        <f>R156</f>
        <v>50000</v>
      </c>
      <c r="S155" s="66"/>
      <c r="T155" s="66"/>
    </row>
    <row r="156" spans="1:20" ht="31.5" x14ac:dyDescent="0.2">
      <c r="A156" s="63" t="s">
        <v>458</v>
      </c>
      <c r="B156" s="63" t="s">
        <v>519</v>
      </c>
      <c r="C156" s="63" t="s">
        <v>986</v>
      </c>
      <c r="D156" s="63">
        <v>244</v>
      </c>
      <c r="E156" s="74" t="s">
        <v>434</v>
      </c>
      <c r="F156" s="66">
        <v>0</v>
      </c>
      <c r="G156" s="66">
        <f t="shared" si="34"/>
        <v>50000</v>
      </c>
      <c r="H156" s="99">
        <v>50000</v>
      </c>
      <c r="I156" s="83"/>
      <c r="J156" s="63" t="s">
        <v>458</v>
      </c>
      <c r="K156" s="63" t="s">
        <v>519</v>
      </c>
      <c r="L156" s="63" t="s">
        <v>805</v>
      </c>
      <c r="M156" s="63">
        <v>244</v>
      </c>
      <c r="N156" s="74" t="s">
        <v>434</v>
      </c>
      <c r="O156" s="66">
        <v>0</v>
      </c>
      <c r="P156" s="66">
        <f t="shared" si="35"/>
        <v>50000</v>
      </c>
      <c r="Q156" s="99">
        <v>50000</v>
      </c>
      <c r="R156" s="99">
        <v>50000</v>
      </c>
      <c r="S156" s="66">
        <f t="shared" si="36"/>
        <v>-50000</v>
      </c>
      <c r="T156" s="66">
        <v>0</v>
      </c>
    </row>
    <row r="157" spans="1:20" ht="53.25" customHeight="1" x14ac:dyDescent="0.2">
      <c r="A157" s="63" t="s">
        <v>458</v>
      </c>
      <c r="B157" s="63" t="s">
        <v>519</v>
      </c>
      <c r="C157" s="63" t="s">
        <v>806</v>
      </c>
      <c r="D157" s="63"/>
      <c r="E157" s="74" t="s">
        <v>905</v>
      </c>
      <c r="F157" s="66">
        <f>F158+F161</f>
        <v>1361000</v>
      </c>
      <c r="G157" s="66">
        <f t="shared" si="34"/>
        <v>-1131000</v>
      </c>
      <c r="H157" s="99">
        <f>H158+H161</f>
        <v>230000</v>
      </c>
      <c r="I157" s="83"/>
      <c r="J157" s="63" t="s">
        <v>458</v>
      </c>
      <c r="K157" s="63" t="s">
        <v>519</v>
      </c>
      <c r="L157" s="63" t="s">
        <v>806</v>
      </c>
      <c r="M157" s="63"/>
      <c r="N157" s="74" t="s">
        <v>905</v>
      </c>
      <c r="O157" s="66">
        <f t="shared" ref="O157:T157" si="41">O158+O161</f>
        <v>1000000</v>
      </c>
      <c r="P157" s="66">
        <f t="shared" si="35"/>
        <v>-770000</v>
      </c>
      <c r="Q157" s="99">
        <f t="shared" si="41"/>
        <v>230000</v>
      </c>
      <c r="R157" s="99">
        <f t="shared" si="41"/>
        <v>0</v>
      </c>
      <c r="S157" s="66">
        <f t="shared" si="36"/>
        <v>0</v>
      </c>
      <c r="T157" s="66">
        <f t="shared" si="41"/>
        <v>0</v>
      </c>
    </row>
    <row r="158" spans="1:20" ht="72.75" customHeight="1" x14ac:dyDescent="0.2">
      <c r="A158" s="63" t="s">
        <v>458</v>
      </c>
      <c r="B158" s="63" t="s">
        <v>519</v>
      </c>
      <c r="C158" s="63" t="s">
        <v>707</v>
      </c>
      <c r="D158" s="63"/>
      <c r="E158" s="74" t="s">
        <v>906</v>
      </c>
      <c r="F158" s="66">
        <f>F159</f>
        <v>1300000</v>
      </c>
      <c r="G158" s="66">
        <f t="shared" si="34"/>
        <v>-1100000</v>
      </c>
      <c r="H158" s="99">
        <f>H159+H160</f>
        <v>200000</v>
      </c>
      <c r="J158" s="63" t="s">
        <v>458</v>
      </c>
      <c r="K158" s="63" t="s">
        <v>519</v>
      </c>
      <c r="L158" s="63" t="s">
        <v>707</v>
      </c>
      <c r="M158" s="63"/>
      <c r="N158" s="74" t="s">
        <v>906</v>
      </c>
      <c r="O158" s="66">
        <f>O159</f>
        <v>1000000</v>
      </c>
      <c r="P158" s="66">
        <f t="shared" si="35"/>
        <v>-800000</v>
      </c>
      <c r="Q158" s="99">
        <f>Q159+Q160</f>
        <v>200000</v>
      </c>
      <c r="R158" s="99">
        <f>R159+R160</f>
        <v>0</v>
      </c>
      <c r="S158" s="66">
        <f t="shared" si="36"/>
        <v>0</v>
      </c>
      <c r="T158" s="66">
        <f>T159</f>
        <v>0</v>
      </c>
    </row>
    <row r="159" spans="1:20" ht="31.5" x14ac:dyDescent="0.2">
      <c r="A159" s="63" t="s">
        <v>458</v>
      </c>
      <c r="B159" s="63" t="s">
        <v>519</v>
      </c>
      <c r="C159" s="63" t="s">
        <v>707</v>
      </c>
      <c r="D159" s="63" t="s">
        <v>427</v>
      </c>
      <c r="E159" s="74" t="s">
        <v>433</v>
      </c>
      <c r="F159" s="66">
        <v>1300000</v>
      </c>
      <c r="G159" s="66">
        <f t="shared" si="34"/>
        <v>-1300000</v>
      </c>
      <c r="H159" s="99">
        <v>0</v>
      </c>
      <c r="J159" s="63" t="s">
        <v>458</v>
      </c>
      <c r="K159" s="63" t="s">
        <v>519</v>
      </c>
      <c r="L159" s="63" t="s">
        <v>707</v>
      </c>
      <c r="M159" s="63" t="s">
        <v>427</v>
      </c>
      <c r="N159" s="74" t="s">
        <v>433</v>
      </c>
      <c r="O159" s="66">
        <v>1000000</v>
      </c>
      <c r="P159" s="66">
        <f t="shared" si="35"/>
        <v>-1000000</v>
      </c>
      <c r="Q159" s="99">
        <v>0</v>
      </c>
      <c r="R159" s="99"/>
      <c r="S159" s="66">
        <f t="shared" si="36"/>
        <v>0</v>
      </c>
      <c r="T159" s="66"/>
    </row>
    <row r="160" spans="1:20" ht="31.5" x14ac:dyDescent="0.2">
      <c r="A160" s="63" t="s">
        <v>458</v>
      </c>
      <c r="B160" s="63" t="s">
        <v>519</v>
      </c>
      <c r="C160" s="63" t="s">
        <v>707</v>
      </c>
      <c r="D160" s="63">
        <v>244</v>
      </c>
      <c r="E160" s="74" t="s">
        <v>434</v>
      </c>
      <c r="F160" s="66">
        <v>1300000</v>
      </c>
      <c r="G160" s="66">
        <f t="shared" si="34"/>
        <v>-1100000</v>
      </c>
      <c r="H160" s="99">
        <v>200000</v>
      </c>
      <c r="J160" s="63" t="s">
        <v>458</v>
      </c>
      <c r="K160" s="63" t="s">
        <v>519</v>
      </c>
      <c r="L160" s="63" t="s">
        <v>707</v>
      </c>
      <c r="M160" s="63">
        <v>244</v>
      </c>
      <c r="N160" s="74" t="s">
        <v>434</v>
      </c>
      <c r="O160" s="66">
        <v>1000000</v>
      </c>
      <c r="P160" s="66">
        <f t="shared" si="35"/>
        <v>-800000</v>
      </c>
      <c r="Q160" s="99">
        <v>200000</v>
      </c>
      <c r="R160" s="99"/>
      <c r="S160" s="66"/>
      <c r="T160" s="66"/>
    </row>
    <row r="161" spans="1:20" ht="58.5" customHeight="1" x14ac:dyDescent="0.2">
      <c r="A161" s="63" t="s">
        <v>458</v>
      </c>
      <c r="B161" s="63" t="s">
        <v>519</v>
      </c>
      <c r="C161" s="63" t="s">
        <v>708</v>
      </c>
      <c r="D161" s="63"/>
      <c r="E161" s="74" t="s">
        <v>907</v>
      </c>
      <c r="F161" s="66">
        <f>F163</f>
        <v>61000</v>
      </c>
      <c r="G161" s="66">
        <f t="shared" si="34"/>
        <v>-31000</v>
      </c>
      <c r="H161" s="99">
        <f>H163+H162</f>
        <v>30000</v>
      </c>
      <c r="J161" s="63" t="s">
        <v>458</v>
      </c>
      <c r="K161" s="63" t="s">
        <v>519</v>
      </c>
      <c r="L161" s="63" t="s">
        <v>708</v>
      </c>
      <c r="M161" s="63"/>
      <c r="N161" s="74" t="s">
        <v>907</v>
      </c>
      <c r="O161" s="66">
        <f>O163</f>
        <v>0</v>
      </c>
      <c r="P161" s="66">
        <f t="shared" si="35"/>
        <v>30000</v>
      </c>
      <c r="Q161" s="99">
        <f>Q163+Q162</f>
        <v>30000</v>
      </c>
      <c r="R161" s="99">
        <f>R163+R162</f>
        <v>0</v>
      </c>
      <c r="S161" s="66">
        <f t="shared" si="36"/>
        <v>0</v>
      </c>
      <c r="T161" s="66">
        <f>T163</f>
        <v>0</v>
      </c>
    </row>
    <row r="162" spans="1:20" ht="31.5" x14ac:dyDescent="0.2">
      <c r="A162" s="63" t="s">
        <v>458</v>
      </c>
      <c r="B162" s="63" t="s">
        <v>519</v>
      </c>
      <c r="C162" s="63" t="s">
        <v>708</v>
      </c>
      <c r="D162" s="63" t="s">
        <v>427</v>
      </c>
      <c r="E162" s="74" t="s">
        <v>433</v>
      </c>
      <c r="F162" s="66">
        <v>61000</v>
      </c>
      <c r="G162" s="66">
        <f t="shared" si="34"/>
        <v>-31000</v>
      </c>
      <c r="H162" s="99">
        <v>30000</v>
      </c>
      <c r="J162" s="63" t="s">
        <v>458</v>
      </c>
      <c r="K162" s="63" t="s">
        <v>519</v>
      </c>
      <c r="L162" s="63" t="s">
        <v>708</v>
      </c>
      <c r="M162" s="63" t="s">
        <v>427</v>
      </c>
      <c r="N162" s="74" t="s">
        <v>433</v>
      </c>
      <c r="O162" s="66">
        <v>0</v>
      </c>
      <c r="P162" s="66">
        <f t="shared" si="35"/>
        <v>30000</v>
      </c>
      <c r="Q162" s="99">
        <v>30000</v>
      </c>
      <c r="R162" s="99"/>
      <c r="S162" s="66"/>
      <c r="T162" s="66"/>
    </row>
    <row r="163" spans="1:20" ht="31.5" x14ac:dyDescent="0.2">
      <c r="A163" s="63" t="s">
        <v>458</v>
      </c>
      <c r="B163" s="63" t="s">
        <v>519</v>
      </c>
      <c r="C163" s="63" t="s">
        <v>708</v>
      </c>
      <c r="D163" s="63" t="s">
        <v>423</v>
      </c>
      <c r="E163" s="74" t="s">
        <v>434</v>
      </c>
      <c r="F163" s="66">
        <v>61000</v>
      </c>
      <c r="G163" s="66">
        <f t="shared" si="34"/>
        <v>-61000</v>
      </c>
      <c r="H163" s="99">
        <v>0</v>
      </c>
      <c r="J163" s="63" t="s">
        <v>458</v>
      </c>
      <c r="K163" s="63" t="s">
        <v>519</v>
      </c>
      <c r="L163" s="63" t="s">
        <v>708</v>
      </c>
      <c r="M163" s="63" t="s">
        <v>423</v>
      </c>
      <c r="N163" s="74" t="s">
        <v>434</v>
      </c>
      <c r="O163" s="66">
        <v>0</v>
      </c>
      <c r="P163" s="66">
        <f t="shared" si="35"/>
        <v>0</v>
      </c>
      <c r="Q163" s="99">
        <v>0</v>
      </c>
      <c r="R163" s="99"/>
      <c r="S163" s="66">
        <f t="shared" si="36"/>
        <v>0</v>
      </c>
      <c r="T163" s="66"/>
    </row>
    <row r="164" spans="1:20" x14ac:dyDescent="0.2">
      <c r="A164" s="63" t="s">
        <v>458</v>
      </c>
      <c r="B164" s="63" t="s">
        <v>87</v>
      </c>
      <c r="C164" s="63"/>
      <c r="D164" s="63"/>
      <c r="E164" s="74" t="s">
        <v>88</v>
      </c>
      <c r="F164" s="65">
        <f>F166</f>
        <v>0</v>
      </c>
      <c r="G164" s="66">
        <f t="shared" si="34"/>
        <v>0</v>
      </c>
      <c r="H164" s="100">
        <f>H166</f>
        <v>0</v>
      </c>
      <c r="J164" s="63" t="s">
        <v>458</v>
      </c>
      <c r="K164" s="63" t="s">
        <v>87</v>
      </c>
      <c r="L164" s="63"/>
      <c r="M164" s="63"/>
      <c r="N164" s="74" t="s">
        <v>88</v>
      </c>
      <c r="O164" s="65">
        <f>O166</f>
        <v>0</v>
      </c>
      <c r="P164" s="66">
        <f t="shared" si="35"/>
        <v>0</v>
      </c>
      <c r="Q164" s="100">
        <f>Q166</f>
        <v>0</v>
      </c>
      <c r="R164" s="100">
        <f>R166</f>
        <v>0</v>
      </c>
      <c r="S164" s="66">
        <f t="shared" si="36"/>
        <v>0</v>
      </c>
      <c r="T164" s="65">
        <f>T166</f>
        <v>0</v>
      </c>
    </row>
    <row r="165" spans="1:20" ht="50.25" customHeight="1" x14ac:dyDescent="0.2">
      <c r="A165" s="63" t="s">
        <v>458</v>
      </c>
      <c r="B165" s="63" t="s">
        <v>87</v>
      </c>
      <c r="C165" s="63" t="s">
        <v>807</v>
      </c>
      <c r="D165" s="63"/>
      <c r="E165" s="74" t="s">
        <v>808</v>
      </c>
      <c r="F165" s="65">
        <f t="shared" ref="F165:H166" si="42">F166</f>
        <v>0</v>
      </c>
      <c r="G165" s="66">
        <f t="shared" si="34"/>
        <v>0</v>
      </c>
      <c r="H165" s="100">
        <f t="shared" si="42"/>
        <v>0</v>
      </c>
      <c r="J165" s="63" t="s">
        <v>458</v>
      </c>
      <c r="K165" s="63" t="s">
        <v>87</v>
      </c>
      <c r="L165" s="63" t="s">
        <v>807</v>
      </c>
      <c r="M165" s="63"/>
      <c r="N165" s="74" t="s">
        <v>808</v>
      </c>
      <c r="O165" s="65">
        <f t="shared" ref="O165:T166" si="43">O166</f>
        <v>0</v>
      </c>
      <c r="P165" s="66">
        <f t="shared" si="35"/>
        <v>0</v>
      </c>
      <c r="Q165" s="100">
        <f t="shared" si="43"/>
        <v>0</v>
      </c>
      <c r="R165" s="100">
        <f t="shared" si="43"/>
        <v>0</v>
      </c>
      <c r="S165" s="66">
        <f t="shared" si="36"/>
        <v>0</v>
      </c>
      <c r="T165" s="65">
        <f t="shared" si="43"/>
        <v>0</v>
      </c>
    </row>
    <row r="166" spans="1:20" ht="85.5" customHeight="1" x14ac:dyDescent="0.2">
      <c r="A166" s="63" t="s">
        <v>458</v>
      </c>
      <c r="B166" s="63" t="s">
        <v>87</v>
      </c>
      <c r="C166" s="63" t="s">
        <v>702</v>
      </c>
      <c r="D166" s="63"/>
      <c r="E166" s="74" t="s">
        <v>809</v>
      </c>
      <c r="F166" s="65">
        <f t="shared" si="42"/>
        <v>0</v>
      </c>
      <c r="G166" s="66">
        <f t="shared" si="34"/>
        <v>0</v>
      </c>
      <c r="H166" s="100">
        <f t="shared" si="42"/>
        <v>0</v>
      </c>
      <c r="J166" s="63" t="s">
        <v>458</v>
      </c>
      <c r="K166" s="63" t="s">
        <v>87</v>
      </c>
      <c r="L166" s="63" t="s">
        <v>702</v>
      </c>
      <c r="M166" s="63"/>
      <c r="N166" s="74" t="s">
        <v>809</v>
      </c>
      <c r="O166" s="65">
        <f t="shared" si="43"/>
        <v>0</v>
      </c>
      <c r="P166" s="66">
        <f t="shared" si="35"/>
        <v>0</v>
      </c>
      <c r="Q166" s="100">
        <f t="shared" si="43"/>
        <v>0</v>
      </c>
      <c r="R166" s="100">
        <f t="shared" si="43"/>
        <v>0</v>
      </c>
      <c r="S166" s="66">
        <f t="shared" si="36"/>
        <v>0</v>
      </c>
      <c r="T166" s="65">
        <f t="shared" si="43"/>
        <v>0</v>
      </c>
    </row>
    <row r="167" spans="1:20" ht="39.75" customHeight="1" x14ac:dyDescent="0.2">
      <c r="A167" s="63" t="s">
        <v>458</v>
      </c>
      <c r="B167" s="63" t="s">
        <v>87</v>
      </c>
      <c r="C167" s="63" t="s">
        <v>702</v>
      </c>
      <c r="D167" s="63" t="s">
        <v>674</v>
      </c>
      <c r="E167" s="74" t="s">
        <v>675</v>
      </c>
      <c r="F167" s="65">
        <v>0</v>
      </c>
      <c r="G167" s="66">
        <f t="shared" si="34"/>
        <v>0</v>
      </c>
      <c r="H167" s="100">
        <v>0</v>
      </c>
      <c r="J167" s="63" t="s">
        <v>458</v>
      </c>
      <c r="K167" s="63" t="s">
        <v>87</v>
      </c>
      <c r="L167" s="63" t="s">
        <v>702</v>
      </c>
      <c r="M167" s="63" t="s">
        <v>674</v>
      </c>
      <c r="N167" s="74" t="s">
        <v>675</v>
      </c>
      <c r="O167" s="65">
        <v>0</v>
      </c>
      <c r="P167" s="66">
        <f t="shared" si="35"/>
        <v>0</v>
      </c>
      <c r="Q167" s="100">
        <v>0</v>
      </c>
      <c r="R167" s="100">
        <v>0</v>
      </c>
      <c r="S167" s="66">
        <f t="shared" si="36"/>
        <v>0</v>
      </c>
      <c r="T167" s="65">
        <v>0</v>
      </c>
    </row>
    <row r="168" spans="1:20" x14ac:dyDescent="0.2">
      <c r="A168" s="63" t="s">
        <v>458</v>
      </c>
      <c r="B168" s="63" t="s">
        <v>626</v>
      </c>
      <c r="C168" s="63"/>
      <c r="D168" s="63"/>
      <c r="E168" s="74" t="s">
        <v>627</v>
      </c>
      <c r="F168" s="65">
        <f>F182+F186+F170+F177+F179</f>
        <v>300000</v>
      </c>
      <c r="G168" s="66">
        <f t="shared" si="34"/>
        <v>4184140</v>
      </c>
      <c r="H168" s="100">
        <f>H182+H186+H170+H177+H179+H172+H174+H184</f>
        <v>4484140</v>
      </c>
      <c r="J168" s="63" t="s">
        <v>458</v>
      </c>
      <c r="K168" s="63" t="s">
        <v>626</v>
      </c>
      <c r="L168" s="63"/>
      <c r="M168" s="63"/>
      <c r="N168" s="74" t="s">
        <v>627</v>
      </c>
      <c r="O168" s="65">
        <f>O182+O186+O170+O177+O179</f>
        <v>300000</v>
      </c>
      <c r="P168" s="66">
        <f t="shared" si="35"/>
        <v>-158400</v>
      </c>
      <c r="Q168" s="100">
        <f>Q182+Q186+Q170+Q177+Q179+Q172+Q174+Q184</f>
        <v>141600</v>
      </c>
      <c r="R168" s="100">
        <f>R182+R186+R170+R177+R179+R172+R174+R184</f>
        <v>141600</v>
      </c>
      <c r="S168" s="66">
        <f t="shared" si="36"/>
        <v>-141600</v>
      </c>
      <c r="T168" s="65">
        <f>T182+T186+T170+T177+T179</f>
        <v>0</v>
      </c>
    </row>
    <row r="169" spans="1:20" ht="62.25" customHeight="1" x14ac:dyDescent="0.2">
      <c r="A169" s="63" t="s">
        <v>458</v>
      </c>
      <c r="B169" s="63" t="s">
        <v>626</v>
      </c>
      <c r="C169" s="63" t="s">
        <v>810</v>
      </c>
      <c r="D169" s="63"/>
      <c r="E169" s="74" t="s">
        <v>811</v>
      </c>
      <c r="F169" s="65">
        <f t="shared" ref="F169:H170" si="44">F170</f>
        <v>0</v>
      </c>
      <c r="G169" s="66">
        <f t="shared" si="34"/>
        <v>1200000</v>
      </c>
      <c r="H169" s="100">
        <f>H170+H172</f>
        <v>1200000</v>
      </c>
      <c r="J169" s="63" t="s">
        <v>458</v>
      </c>
      <c r="K169" s="63" t="s">
        <v>626</v>
      </c>
      <c r="L169" s="63" t="s">
        <v>810</v>
      </c>
      <c r="M169" s="63"/>
      <c r="N169" s="74" t="s">
        <v>811</v>
      </c>
      <c r="O169" s="65">
        <f t="shared" ref="O169:T170" si="45">O170</f>
        <v>0</v>
      </c>
      <c r="P169" s="66">
        <f t="shared" si="35"/>
        <v>0</v>
      </c>
      <c r="Q169" s="100">
        <f t="shared" si="45"/>
        <v>0</v>
      </c>
      <c r="R169" s="100">
        <f t="shared" si="45"/>
        <v>0</v>
      </c>
      <c r="S169" s="66">
        <f t="shared" si="36"/>
        <v>0</v>
      </c>
      <c r="T169" s="65">
        <f t="shared" si="45"/>
        <v>0</v>
      </c>
    </row>
    <row r="170" spans="1:20" ht="68.25" customHeight="1" x14ac:dyDescent="0.2">
      <c r="A170" s="63" t="s">
        <v>458</v>
      </c>
      <c r="B170" s="63" t="s">
        <v>626</v>
      </c>
      <c r="C170" s="63" t="s">
        <v>764</v>
      </c>
      <c r="D170" s="63"/>
      <c r="E170" s="74" t="s">
        <v>812</v>
      </c>
      <c r="F170" s="65">
        <f t="shared" si="44"/>
        <v>0</v>
      </c>
      <c r="G170" s="66">
        <f t="shared" si="34"/>
        <v>1000000</v>
      </c>
      <c r="H170" s="100">
        <f t="shared" si="44"/>
        <v>1000000</v>
      </c>
      <c r="J170" s="63" t="s">
        <v>458</v>
      </c>
      <c r="K170" s="63" t="s">
        <v>626</v>
      </c>
      <c r="L170" s="63" t="s">
        <v>764</v>
      </c>
      <c r="M170" s="63"/>
      <c r="N170" s="74" t="s">
        <v>812</v>
      </c>
      <c r="O170" s="65">
        <f t="shared" si="45"/>
        <v>0</v>
      </c>
      <c r="P170" s="66">
        <f t="shared" si="35"/>
        <v>0</v>
      </c>
      <c r="Q170" s="100">
        <f t="shared" si="45"/>
        <v>0</v>
      </c>
      <c r="R170" s="100">
        <f t="shared" si="45"/>
        <v>0</v>
      </c>
      <c r="S170" s="66">
        <f t="shared" si="36"/>
        <v>0</v>
      </c>
      <c r="T170" s="65">
        <f t="shared" si="45"/>
        <v>0</v>
      </c>
    </row>
    <row r="171" spans="1:20" ht="52.5" x14ac:dyDescent="0.2">
      <c r="A171" s="63" t="s">
        <v>458</v>
      </c>
      <c r="B171" s="63" t="s">
        <v>626</v>
      </c>
      <c r="C171" s="63" t="s">
        <v>764</v>
      </c>
      <c r="D171" s="63" t="s">
        <v>248</v>
      </c>
      <c r="E171" s="74" t="s">
        <v>250</v>
      </c>
      <c r="F171" s="65">
        <v>0</v>
      </c>
      <c r="G171" s="66">
        <f t="shared" si="34"/>
        <v>1000000</v>
      </c>
      <c r="H171" s="100">
        <v>1000000</v>
      </c>
      <c r="J171" s="63" t="s">
        <v>458</v>
      </c>
      <c r="K171" s="63" t="s">
        <v>626</v>
      </c>
      <c r="L171" s="63" t="s">
        <v>764</v>
      </c>
      <c r="M171" s="63" t="s">
        <v>248</v>
      </c>
      <c r="N171" s="74" t="s">
        <v>250</v>
      </c>
      <c r="O171" s="65">
        <v>0</v>
      </c>
      <c r="P171" s="66">
        <f t="shared" si="35"/>
        <v>0</v>
      </c>
      <c r="Q171" s="100">
        <v>0</v>
      </c>
      <c r="R171" s="100">
        <v>0</v>
      </c>
      <c r="S171" s="66">
        <f t="shared" si="36"/>
        <v>0</v>
      </c>
      <c r="T171" s="65">
        <v>0</v>
      </c>
    </row>
    <row r="172" spans="1:20" ht="64.5" customHeight="1" x14ac:dyDescent="0.2">
      <c r="A172" s="63" t="s">
        <v>458</v>
      </c>
      <c r="B172" s="63" t="s">
        <v>626</v>
      </c>
      <c r="C172" s="63" t="s">
        <v>963</v>
      </c>
      <c r="D172" s="63"/>
      <c r="E172" s="74" t="s">
        <v>964</v>
      </c>
      <c r="F172" s="65"/>
      <c r="G172" s="66"/>
      <c r="H172" s="100">
        <f>H173</f>
        <v>200000</v>
      </c>
      <c r="J172" s="63" t="s">
        <v>458</v>
      </c>
      <c r="K172" s="63" t="s">
        <v>626</v>
      </c>
      <c r="L172" s="63" t="s">
        <v>963</v>
      </c>
      <c r="M172" s="63"/>
      <c r="N172" s="74" t="s">
        <v>964</v>
      </c>
      <c r="O172" s="65"/>
      <c r="P172" s="66"/>
      <c r="Q172" s="100">
        <f>Q173</f>
        <v>0</v>
      </c>
      <c r="R172" s="100">
        <f>R173</f>
        <v>0</v>
      </c>
      <c r="S172" s="66"/>
      <c r="T172" s="65"/>
    </row>
    <row r="173" spans="1:20" ht="42" customHeight="1" x14ac:dyDescent="0.2">
      <c r="A173" s="63" t="s">
        <v>458</v>
      </c>
      <c r="B173" s="63" t="s">
        <v>626</v>
      </c>
      <c r="C173" s="63" t="s">
        <v>963</v>
      </c>
      <c r="D173" s="63" t="s">
        <v>248</v>
      </c>
      <c r="E173" s="74" t="s">
        <v>250</v>
      </c>
      <c r="F173" s="65"/>
      <c r="G173" s="66"/>
      <c r="H173" s="100">
        <v>200000</v>
      </c>
      <c r="J173" s="63" t="s">
        <v>458</v>
      </c>
      <c r="K173" s="63" t="s">
        <v>626</v>
      </c>
      <c r="L173" s="63" t="s">
        <v>963</v>
      </c>
      <c r="M173" s="63" t="s">
        <v>248</v>
      </c>
      <c r="N173" s="74" t="s">
        <v>250</v>
      </c>
      <c r="O173" s="65"/>
      <c r="P173" s="66"/>
      <c r="Q173" s="100"/>
      <c r="R173" s="100"/>
      <c r="S173" s="66"/>
      <c r="T173" s="65"/>
    </row>
    <row r="174" spans="1:20" ht="42" customHeight="1" x14ac:dyDescent="0.2">
      <c r="A174" s="63" t="s">
        <v>458</v>
      </c>
      <c r="B174" s="63" t="s">
        <v>626</v>
      </c>
      <c r="C174" s="63" t="s">
        <v>965</v>
      </c>
      <c r="D174" s="63"/>
      <c r="E174" s="74" t="s">
        <v>966</v>
      </c>
      <c r="F174" s="65"/>
      <c r="G174" s="66"/>
      <c r="H174" s="100">
        <f>H175</f>
        <v>141600</v>
      </c>
      <c r="J174" s="63" t="s">
        <v>458</v>
      </c>
      <c r="K174" s="63" t="s">
        <v>626</v>
      </c>
      <c r="L174" s="63" t="s">
        <v>965</v>
      </c>
      <c r="M174" s="63"/>
      <c r="N174" s="74" t="s">
        <v>966</v>
      </c>
      <c r="O174" s="65"/>
      <c r="P174" s="66"/>
      <c r="Q174" s="100">
        <f>Q175</f>
        <v>141600</v>
      </c>
      <c r="R174" s="100">
        <f>R175</f>
        <v>141600</v>
      </c>
      <c r="S174" s="66"/>
      <c r="T174" s="65"/>
    </row>
    <row r="175" spans="1:20" ht="42" customHeight="1" x14ac:dyDescent="0.2">
      <c r="A175" s="63" t="s">
        <v>458</v>
      </c>
      <c r="B175" s="63" t="s">
        <v>626</v>
      </c>
      <c r="C175" s="63" t="s">
        <v>965</v>
      </c>
      <c r="D175" s="63" t="s">
        <v>248</v>
      </c>
      <c r="E175" s="74" t="s">
        <v>250</v>
      </c>
      <c r="F175" s="65"/>
      <c r="G175" s="66"/>
      <c r="H175" s="100">
        <v>141600</v>
      </c>
      <c r="J175" s="63" t="s">
        <v>458</v>
      </c>
      <c r="K175" s="63" t="s">
        <v>626</v>
      </c>
      <c r="L175" s="63" t="s">
        <v>965</v>
      </c>
      <c r="M175" s="63" t="s">
        <v>248</v>
      </c>
      <c r="N175" s="74" t="s">
        <v>250</v>
      </c>
      <c r="O175" s="65"/>
      <c r="P175" s="66"/>
      <c r="Q175" s="100">
        <v>141600</v>
      </c>
      <c r="R175" s="100">
        <v>141600</v>
      </c>
      <c r="S175" s="66"/>
      <c r="T175" s="65"/>
    </row>
    <row r="176" spans="1:20" ht="88.5" customHeight="1" x14ac:dyDescent="0.2">
      <c r="A176" s="63" t="s">
        <v>458</v>
      </c>
      <c r="B176" s="63" t="s">
        <v>626</v>
      </c>
      <c r="C176" s="63" t="s">
        <v>813</v>
      </c>
      <c r="D176" s="63"/>
      <c r="E176" s="74" t="s">
        <v>814</v>
      </c>
      <c r="F176" s="65">
        <f>F177+F179</f>
        <v>0</v>
      </c>
      <c r="G176" s="66">
        <f t="shared" si="34"/>
        <v>350000</v>
      </c>
      <c r="H176" s="100">
        <f>H177+H179</f>
        <v>350000</v>
      </c>
      <c r="J176" s="63" t="s">
        <v>458</v>
      </c>
      <c r="K176" s="63" t="s">
        <v>626</v>
      </c>
      <c r="L176" s="63" t="s">
        <v>813</v>
      </c>
      <c r="M176" s="63"/>
      <c r="N176" s="74" t="s">
        <v>814</v>
      </c>
      <c r="O176" s="65">
        <f t="shared" ref="O176:T176" si="46">O177+O179</f>
        <v>0</v>
      </c>
      <c r="P176" s="66">
        <f t="shared" si="35"/>
        <v>0</v>
      </c>
      <c r="Q176" s="100">
        <f t="shared" si="46"/>
        <v>0</v>
      </c>
      <c r="R176" s="100">
        <f t="shared" si="46"/>
        <v>0</v>
      </c>
      <c r="S176" s="66">
        <f t="shared" si="36"/>
        <v>0</v>
      </c>
      <c r="T176" s="65">
        <f t="shared" si="46"/>
        <v>0</v>
      </c>
    </row>
    <row r="177" spans="1:20" ht="76.5" customHeight="1" x14ac:dyDescent="0.2">
      <c r="A177" s="63" t="s">
        <v>458</v>
      </c>
      <c r="B177" s="63" t="s">
        <v>626</v>
      </c>
      <c r="C177" s="63" t="s">
        <v>743</v>
      </c>
      <c r="D177" s="63"/>
      <c r="E177" s="74" t="s">
        <v>767</v>
      </c>
      <c r="F177" s="65">
        <f>F178</f>
        <v>0</v>
      </c>
      <c r="G177" s="66">
        <f t="shared" si="34"/>
        <v>0</v>
      </c>
      <c r="H177" s="100">
        <f>H178</f>
        <v>0</v>
      </c>
      <c r="J177" s="63" t="s">
        <v>458</v>
      </c>
      <c r="K177" s="63" t="s">
        <v>626</v>
      </c>
      <c r="L177" s="63" t="s">
        <v>743</v>
      </c>
      <c r="M177" s="63"/>
      <c r="N177" s="74" t="s">
        <v>767</v>
      </c>
      <c r="O177" s="65">
        <f t="shared" ref="O177:T177" si="47">O178</f>
        <v>0</v>
      </c>
      <c r="P177" s="66">
        <f t="shared" si="35"/>
        <v>0</v>
      </c>
      <c r="Q177" s="100">
        <f t="shared" si="47"/>
        <v>0</v>
      </c>
      <c r="R177" s="100">
        <f t="shared" si="47"/>
        <v>0</v>
      </c>
      <c r="S177" s="66">
        <f t="shared" si="36"/>
        <v>0</v>
      </c>
      <c r="T177" s="65">
        <f t="shared" si="47"/>
        <v>0</v>
      </c>
    </row>
    <row r="178" spans="1:20" ht="52.5" x14ac:dyDescent="0.2">
      <c r="A178" s="63" t="s">
        <v>458</v>
      </c>
      <c r="B178" s="63" t="s">
        <v>626</v>
      </c>
      <c r="C178" s="63" t="s">
        <v>743</v>
      </c>
      <c r="D178" s="63" t="s">
        <v>248</v>
      </c>
      <c r="E178" s="74" t="s">
        <v>250</v>
      </c>
      <c r="F178" s="65">
        <v>0</v>
      </c>
      <c r="G178" s="66">
        <f t="shared" si="34"/>
        <v>0</v>
      </c>
      <c r="H178" s="100">
        <v>0</v>
      </c>
      <c r="J178" s="63" t="s">
        <v>458</v>
      </c>
      <c r="K178" s="63" t="s">
        <v>626</v>
      </c>
      <c r="L178" s="63" t="s">
        <v>743</v>
      </c>
      <c r="M178" s="63" t="s">
        <v>248</v>
      </c>
      <c r="N178" s="74" t="s">
        <v>250</v>
      </c>
      <c r="O178" s="65">
        <v>0</v>
      </c>
      <c r="P178" s="66">
        <f t="shared" si="35"/>
        <v>0</v>
      </c>
      <c r="Q178" s="100">
        <v>0</v>
      </c>
      <c r="R178" s="100">
        <v>0</v>
      </c>
      <c r="S178" s="66">
        <f t="shared" si="36"/>
        <v>0</v>
      </c>
      <c r="T178" s="65">
        <v>0</v>
      </c>
    </row>
    <row r="179" spans="1:20" ht="103.5" customHeight="1" x14ac:dyDescent="0.2">
      <c r="A179" s="63" t="s">
        <v>458</v>
      </c>
      <c r="B179" s="63" t="s">
        <v>626</v>
      </c>
      <c r="C179" s="63" t="s">
        <v>815</v>
      </c>
      <c r="D179" s="63"/>
      <c r="E179" s="74" t="s">
        <v>769</v>
      </c>
      <c r="F179" s="65">
        <f>F180</f>
        <v>0</v>
      </c>
      <c r="G179" s="66">
        <f t="shared" si="34"/>
        <v>350000</v>
      </c>
      <c r="H179" s="100">
        <f>H180</f>
        <v>350000</v>
      </c>
      <c r="J179" s="63" t="s">
        <v>458</v>
      </c>
      <c r="K179" s="63" t="s">
        <v>626</v>
      </c>
      <c r="L179" s="63" t="s">
        <v>815</v>
      </c>
      <c r="M179" s="63"/>
      <c r="N179" s="74" t="s">
        <v>769</v>
      </c>
      <c r="O179" s="65">
        <f t="shared" ref="O179:T179" si="48">O180</f>
        <v>0</v>
      </c>
      <c r="P179" s="66">
        <f t="shared" si="35"/>
        <v>0</v>
      </c>
      <c r="Q179" s="100">
        <f t="shared" si="48"/>
        <v>0</v>
      </c>
      <c r="R179" s="100">
        <f t="shared" si="48"/>
        <v>0</v>
      </c>
      <c r="S179" s="66">
        <f t="shared" si="36"/>
        <v>0</v>
      </c>
      <c r="T179" s="65">
        <f t="shared" si="48"/>
        <v>0</v>
      </c>
    </row>
    <row r="180" spans="1:20" ht="52.5" x14ac:dyDescent="0.2">
      <c r="A180" s="63" t="s">
        <v>458</v>
      </c>
      <c r="B180" s="63" t="s">
        <v>626</v>
      </c>
      <c r="C180" s="63" t="s">
        <v>815</v>
      </c>
      <c r="D180" s="63" t="s">
        <v>248</v>
      </c>
      <c r="E180" s="74" t="s">
        <v>250</v>
      </c>
      <c r="F180" s="65">
        <v>0</v>
      </c>
      <c r="G180" s="66">
        <f t="shared" si="34"/>
        <v>350000</v>
      </c>
      <c r="H180" s="100">
        <v>350000</v>
      </c>
      <c r="J180" s="63" t="s">
        <v>458</v>
      </c>
      <c r="K180" s="63" t="s">
        <v>626</v>
      </c>
      <c r="L180" s="63" t="s">
        <v>815</v>
      </c>
      <c r="M180" s="63" t="s">
        <v>248</v>
      </c>
      <c r="N180" s="74" t="s">
        <v>250</v>
      </c>
      <c r="O180" s="65">
        <v>0</v>
      </c>
      <c r="P180" s="66">
        <f t="shared" si="35"/>
        <v>0</v>
      </c>
      <c r="Q180" s="100">
        <v>0</v>
      </c>
      <c r="R180" s="100">
        <v>0</v>
      </c>
      <c r="S180" s="66">
        <f t="shared" si="36"/>
        <v>0</v>
      </c>
      <c r="T180" s="65">
        <v>0</v>
      </c>
    </row>
    <row r="181" spans="1:20" ht="46.5" customHeight="1" x14ac:dyDescent="0.2">
      <c r="A181" s="63" t="s">
        <v>458</v>
      </c>
      <c r="B181" s="63" t="s">
        <v>626</v>
      </c>
      <c r="C181" s="63" t="s">
        <v>816</v>
      </c>
      <c r="D181" s="63"/>
      <c r="E181" s="74" t="s">
        <v>817</v>
      </c>
      <c r="F181" s="65">
        <f t="shared" ref="F181:H182" si="49">F182</f>
        <v>0</v>
      </c>
      <c r="G181" s="66">
        <f t="shared" si="34"/>
        <v>2792540</v>
      </c>
      <c r="H181" s="100">
        <f>H182+H184</f>
        <v>2792540</v>
      </c>
      <c r="J181" s="63" t="s">
        <v>458</v>
      </c>
      <c r="K181" s="63" t="s">
        <v>626</v>
      </c>
      <c r="L181" s="63" t="s">
        <v>816</v>
      </c>
      <c r="M181" s="63"/>
      <c r="N181" s="74" t="s">
        <v>817</v>
      </c>
      <c r="O181" s="65">
        <f t="shared" ref="O181:T182" si="50">O182</f>
        <v>0</v>
      </c>
      <c r="P181" s="66">
        <f t="shared" si="35"/>
        <v>0</v>
      </c>
      <c r="Q181" s="100">
        <f>Q182+Q184</f>
        <v>0</v>
      </c>
      <c r="R181" s="100">
        <f>R182+R184</f>
        <v>0</v>
      </c>
      <c r="S181" s="66">
        <f t="shared" si="36"/>
        <v>0</v>
      </c>
      <c r="T181" s="65">
        <f t="shared" si="50"/>
        <v>0</v>
      </c>
    </row>
    <row r="182" spans="1:20" ht="94.5" x14ac:dyDescent="0.2">
      <c r="A182" s="63" t="s">
        <v>458</v>
      </c>
      <c r="B182" s="63" t="s">
        <v>626</v>
      </c>
      <c r="C182" s="63" t="s">
        <v>709</v>
      </c>
      <c r="D182" s="63"/>
      <c r="E182" s="74" t="s">
        <v>818</v>
      </c>
      <c r="F182" s="65">
        <f t="shared" si="49"/>
        <v>0</v>
      </c>
      <c r="G182" s="66">
        <f t="shared" si="34"/>
        <v>1408740</v>
      </c>
      <c r="H182" s="100">
        <f t="shared" si="49"/>
        <v>1408740</v>
      </c>
      <c r="J182" s="63" t="s">
        <v>458</v>
      </c>
      <c r="K182" s="63" t="s">
        <v>626</v>
      </c>
      <c r="L182" s="63" t="s">
        <v>709</v>
      </c>
      <c r="M182" s="63"/>
      <c r="N182" s="74" t="s">
        <v>818</v>
      </c>
      <c r="O182" s="65">
        <f t="shared" si="50"/>
        <v>0</v>
      </c>
      <c r="P182" s="66">
        <f t="shared" si="35"/>
        <v>0</v>
      </c>
      <c r="Q182" s="100">
        <f t="shared" si="50"/>
        <v>0</v>
      </c>
      <c r="R182" s="100">
        <f t="shared" si="50"/>
        <v>0</v>
      </c>
      <c r="S182" s="66">
        <f t="shared" si="36"/>
        <v>0</v>
      </c>
      <c r="T182" s="65">
        <f t="shared" si="50"/>
        <v>0</v>
      </c>
    </row>
    <row r="183" spans="1:20" ht="27.75" customHeight="1" x14ac:dyDescent="0.2">
      <c r="A183" s="63" t="s">
        <v>458</v>
      </c>
      <c r="B183" s="63" t="s">
        <v>626</v>
      </c>
      <c r="C183" s="63" t="s">
        <v>709</v>
      </c>
      <c r="D183" s="63" t="s">
        <v>967</v>
      </c>
      <c r="E183" s="74" t="s">
        <v>968</v>
      </c>
      <c r="F183" s="65">
        <v>0</v>
      </c>
      <c r="G183" s="66">
        <f t="shared" si="34"/>
        <v>1408740</v>
      </c>
      <c r="H183" s="100">
        <v>1408740</v>
      </c>
      <c r="J183" s="63" t="s">
        <v>458</v>
      </c>
      <c r="K183" s="63" t="s">
        <v>626</v>
      </c>
      <c r="L183" s="63" t="s">
        <v>709</v>
      </c>
      <c r="M183" s="63" t="s">
        <v>967</v>
      </c>
      <c r="N183" s="74" t="s">
        <v>968</v>
      </c>
      <c r="O183" s="65">
        <v>0</v>
      </c>
      <c r="P183" s="66">
        <f t="shared" si="35"/>
        <v>0</v>
      </c>
      <c r="Q183" s="100">
        <v>0</v>
      </c>
      <c r="R183" s="100">
        <v>0</v>
      </c>
      <c r="S183" s="66">
        <f t="shared" si="36"/>
        <v>0</v>
      </c>
      <c r="T183" s="65">
        <v>0</v>
      </c>
    </row>
    <row r="184" spans="1:20" ht="27.75" customHeight="1" x14ac:dyDescent="0.2">
      <c r="A184" s="63" t="s">
        <v>458</v>
      </c>
      <c r="B184" s="63" t="s">
        <v>626</v>
      </c>
      <c r="C184" s="63" t="s">
        <v>969</v>
      </c>
      <c r="D184" s="63"/>
      <c r="E184" s="74" t="s">
        <v>970</v>
      </c>
      <c r="F184" s="65"/>
      <c r="G184" s="66"/>
      <c r="H184" s="100">
        <f>H185</f>
        <v>1383800</v>
      </c>
      <c r="J184" s="63" t="s">
        <v>458</v>
      </c>
      <c r="K184" s="63" t="s">
        <v>626</v>
      </c>
      <c r="L184" s="63" t="s">
        <v>969</v>
      </c>
      <c r="M184" s="63"/>
      <c r="N184" s="74" t="s">
        <v>970</v>
      </c>
      <c r="O184" s="65"/>
      <c r="P184" s="66"/>
      <c r="Q184" s="100">
        <f>Q185</f>
        <v>0</v>
      </c>
      <c r="R184" s="100">
        <f>R185</f>
        <v>0</v>
      </c>
      <c r="S184" s="66"/>
      <c r="T184" s="65"/>
    </row>
    <row r="185" spans="1:20" ht="27.75" customHeight="1" x14ac:dyDescent="0.2">
      <c r="A185" s="63" t="s">
        <v>458</v>
      </c>
      <c r="B185" s="63" t="s">
        <v>626</v>
      </c>
      <c r="C185" s="63" t="s">
        <v>969</v>
      </c>
      <c r="D185" s="63" t="s">
        <v>967</v>
      </c>
      <c r="E185" s="74" t="s">
        <v>968</v>
      </c>
      <c r="F185" s="65"/>
      <c r="G185" s="66"/>
      <c r="H185" s="100">
        <v>1383800</v>
      </c>
      <c r="J185" s="63" t="s">
        <v>458</v>
      </c>
      <c r="K185" s="63" t="s">
        <v>626</v>
      </c>
      <c r="L185" s="63" t="s">
        <v>969</v>
      </c>
      <c r="M185" s="63" t="s">
        <v>967</v>
      </c>
      <c r="N185" s="74" t="s">
        <v>968</v>
      </c>
      <c r="O185" s="65"/>
      <c r="P185" s="66"/>
      <c r="Q185" s="100"/>
      <c r="R185" s="100"/>
      <c r="S185" s="66"/>
      <c r="T185" s="65"/>
    </row>
    <row r="186" spans="1:20" ht="105" x14ac:dyDescent="0.2">
      <c r="A186" s="63" t="s">
        <v>458</v>
      </c>
      <c r="B186" s="63" t="s">
        <v>626</v>
      </c>
      <c r="C186" s="63" t="s">
        <v>819</v>
      </c>
      <c r="D186" s="63"/>
      <c r="E186" s="74" t="s">
        <v>765</v>
      </c>
      <c r="F186" s="65">
        <f>F187</f>
        <v>300000</v>
      </c>
      <c r="G186" s="66">
        <f t="shared" si="34"/>
        <v>-300000</v>
      </c>
      <c r="H186" s="100">
        <f>H187</f>
        <v>0</v>
      </c>
      <c r="J186" s="63" t="s">
        <v>458</v>
      </c>
      <c r="K186" s="63" t="s">
        <v>626</v>
      </c>
      <c r="L186" s="63" t="s">
        <v>819</v>
      </c>
      <c r="M186" s="63"/>
      <c r="N186" s="74" t="s">
        <v>765</v>
      </c>
      <c r="O186" s="65">
        <f t="shared" ref="O186:T186" si="51">O187</f>
        <v>300000</v>
      </c>
      <c r="P186" s="66">
        <f t="shared" si="35"/>
        <v>-300000</v>
      </c>
      <c r="Q186" s="100">
        <f t="shared" si="51"/>
        <v>0</v>
      </c>
      <c r="R186" s="100">
        <f t="shared" si="51"/>
        <v>0</v>
      </c>
      <c r="S186" s="66">
        <f t="shared" si="36"/>
        <v>0</v>
      </c>
      <c r="T186" s="65">
        <f t="shared" si="51"/>
        <v>0</v>
      </c>
    </row>
    <row r="187" spans="1:20" ht="52.5" x14ac:dyDescent="0.2">
      <c r="A187" s="63" t="s">
        <v>458</v>
      </c>
      <c r="B187" s="63" t="s">
        <v>626</v>
      </c>
      <c r="C187" s="63" t="s">
        <v>819</v>
      </c>
      <c r="D187" s="63" t="s">
        <v>248</v>
      </c>
      <c r="E187" s="74" t="s">
        <v>250</v>
      </c>
      <c r="F187" s="65">
        <v>300000</v>
      </c>
      <c r="G187" s="66">
        <f t="shared" si="34"/>
        <v>-300000</v>
      </c>
      <c r="H187" s="100">
        <v>0</v>
      </c>
      <c r="J187" s="63" t="s">
        <v>458</v>
      </c>
      <c r="K187" s="63" t="s">
        <v>626</v>
      </c>
      <c r="L187" s="63" t="s">
        <v>819</v>
      </c>
      <c r="M187" s="63" t="s">
        <v>248</v>
      </c>
      <c r="N187" s="74" t="s">
        <v>250</v>
      </c>
      <c r="O187" s="65">
        <v>300000</v>
      </c>
      <c r="P187" s="66">
        <f t="shared" si="35"/>
        <v>-300000</v>
      </c>
      <c r="Q187" s="100">
        <v>0</v>
      </c>
      <c r="R187" s="100"/>
      <c r="S187" s="66">
        <f t="shared" si="36"/>
        <v>0</v>
      </c>
      <c r="T187" s="65"/>
    </row>
    <row r="188" spans="1:20" x14ac:dyDescent="0.2">
      <c r="A188" s="63" t="s">
        <v>458</v>
      </c>
      <c r="B188" s="63" t="s">
        <v>413</v>
      </c>
      <c r="C188" s="63"/>
      <c r="D188" s="63"/>
      <c r="E188" s="74" t="s">
        <v>414</v>
      </c>
      <c r="F188" s="65"/>
      <c r="G188" s="66"/>
      <c r="H188" s="100">
        <f>H190+H192</f>
        <v>1800000</v>
      </c>
      <c r="J188" s="63" t="s">
        <v>458</v>
      </c>
      <c r="K188" s="63" t="s">
        <v>413</v>
      </c>
      <c r="L188" s="63"/>
      <c r="M188" s="63"/>
      <c r="N188" s="74" t="s">
        <v>414</v>
      </c>
      <c r="O188" s="65"/>
      <c r="P188" s="66"/>
      <c r="Q188" s="100">
        <f>Q190+Q192</f>
        <v>0</v>
      </c>
      <c r="R188" s="100">
        <f>R190+R192</f>
        <v>0</v>
      </c>
      <c r="S188" s="66"/>
      <c r="T188" s="65"/>
    </row>
    <row r="189" spans="1:20" ht="65.25" customHeight="1" x14ac:dyDescent="0.2">
      <c r="A189" s="63" t="s">
        <v>458</v>
      </c>
      <c r="B189" s="63" t="s">
        <v>413</v>
      </c>
      <c r="C189" s="63" t="s">
        <v>782</v>
      </c>
      <c r="D189" s="63"/>
      <c r="E189" s="74" t="s">
        <v>972</v>
      </c>
      <c r="F189" s="65"/>
      <c r="G189" s="66"/>
      <c r="H189" s="100">
        <f>H190+H192</f>
        <v>1800000</v>
      </c>
      <c r="J189" s="63" t="s">
        <v>458</v>
      </c>
      <c r="K189" s="63" t="s">
        <v>413</v>
      </c>
      <c r="L189" s="63" t="s">
        <v>782</v>
      </c>
      <c r="M189" s="63"/>
      <c r="N189" s="74" t="s">
        <v>972</v>
      </c>
      <c r="O189" s="65"/>
      <c r="P189" s="66"/>
      <c r="Q189" s="100">
        <f>Q190+Q192</f>
        <v>0</v>
      </c>
      <c r="R189" s="100">
        <f>R190+R192</f>
        <v>0</v>
      </c>
      <c r="S189" s="66"/>
      <c r="T189" s="65"/>
    </row>
    <row r="190" spans="1:20" ht="21.75" customHeight="1" x14ac:dyDescent="0.2">
      <c r="A190" s="63" t="s">
        <v>458</v>
      </c>
      <c r="B190" s="63" t="s">
        <v>413</v>
      </c>
      <c r="C190" s="63" t="s">
        <v>820</v>
      </c>
      <c r="D190" s="63"/>
      <c r="E190" s="74" t="s">
        <v>973</v>
      </c>
      <c r="F190" s="65"/>
      <c r="G190" s="66"/>
      <c r="H190" s="100">
        <f>H191</f>
        <v>1000000</v>
      </c>
      <c r="J190" s="63" t="s">
        <v>458</v>
      </c>
      <c r="K190" s="63" t="s">
        <v>413</v>
      </c>
      <c r="L190" s="63" t="s">
        <v>820</v>
      </c>
      <c r="M190" s="63"/>
      <c r="N190" s="74" t="s">
        <v>973</v>
      </c>
      <c r="O190" s="65"/>
      <c r="P190" s="66"/>
      <c r="Q190" s="100">
        <f>Q191</f>
        <v>0</v>
      </c>
      <c r="R190" s="100">
        <f>R191</f>
        <v>0</v>
      </c>
      <c r="S190" s="66"/>
      <c r="T190" s="65"/>
    </row>
    <row r="191" spans="1:20" ht="52.5" x14ac:dyDescent="0.2">
      <c r="A191" s="63" t="s">
        <v>458</v>
      </c>
      <c r="B191" s="63" t="s">
        <v>413</v>
      </c>
      <c r="C191" s="63" t="s">
        <v>820</v>
      </c>
      <c r="D191" s="63" t="s">
        <v>967</v>
      </c>
      <c r="E191" s="74" t="s">
        <v>968</v>
      </c>
      <c r="F191" s="65"/>
      <c r="G191" s="66"/>
      <c r="H191" s="100">
        <v>1000000</v>
      </c>
      <c r="J191" s="63" t="s">
        <v>458</v>
      </c>
      <c r="K191" s="63" t="s">
        <v>413</v>
      </c>
      <c r="L191" s="63" t="s">
        <v>820</v>
      </c>
      <c r="M191" s="63" t="s">
        <v>967</v>
      </c>
      <c r="N191" s="74" t="s">
        <v>968</v>
      </c>
      <c r="O191" s="65"/>
      <c r="P191" s="66"/>
      <c r="Q191" s="100"/>
      <c r="R191" s="100"/>
      <c r="S191" s="66"/>
      <c r="T191" s="65"/>
    </row>
    <row r="192" spans="1:20" ht="19.5" customHeight="1" x14ac:dyDescent="0.2">
      <c r="A192" s="63" t="s">
        <v>458</v>
      </c>
      <c r="B192" s="63" t="s">
        <v>413</v>
      </c>
      <c r="C192" s="63" t="s">
        <v>971</v>
      </c>
      <c r="D192" s="63"/>
      <c r="E192" s="74" t="s">
        <v>974</v>
      </c>
      <c r="F192" s="65"/>
      <c r="G192" s="66"/>
      <c r="H192" s="100">
        <f>H193</f>
        <v>800000</v>
      </c>
      <c r="J192" s="63" t="s">
        <v>458</v>
      </c>
      <c r="K192" s="63" t="s">
        <v>413</v>
      </c>
      <c r="L192" s="63" t="s">
        <v>971</v>
      </c>
      <c r="M192" s="63"/>
      <c r="N192" s="74" t="s">
        <v>974</v>
      </c>
      <c r="O192" s="65"/>
      <c r="P192" s="66"/>
      <c r="Q192" s="100">
        <f>Q193</f>
        <v>0</v>
      </c>
      <c r="R192" s="100">
        <f>R193</f>
        <v>0</v>
      </c>
      <c r="S192" s="66"/>
      <c r="T192" s="65"/>
    </row>
    <row r="193" spans="1:20" ht="42" x14ac:dyDescent="0.2">
      <c r="A193" s="63" t="s">
        <v>458</v>
      </c>
      <c r="B193" s="63" t="s">
        <v>413</v>
      </c>
      <c r="C193" s="63" t="s">
        <v>971</v>
      </c>
      <c r="D193" s="63" t="s">
        <v>975</v>
      </c>
      <c r="E193" s="74" t="s">
        <v>976</v>
      </c>
      <c r="F193" s="65"/>
      <c r="G193" s="66"/>
      <c r="H193" s="100">
        <v>800000</v>
      </c>
      <c r="J193" s="63" t="s">
        <v>458</v>
      </c>
      <c r="K193" s="63" t="s">
        <v>413</v>
      </c>
      <c r="L193" s="63" t="s">
        <v>971</v>
      </c>
      <c r="M193" s="63" t="s">
        <v>975</v>
      </c>
      <c r="N193" s="74" t="s">
        <v>976</v>
      </c>
      <c r="O193" s="65"/>
      <c r="P193" s="66"/>
      <c r="Q193" s="100"/>
      <c r="R193" s="100"/>
      <c r="S193" s="66"/>
      <c r="T193" s="65"/>
    </row>
    <row r="194" spans="1:20" x14ac:dyDescent="0.2">
      <c r="A194" s="63" t="s">
        <v>458</v>
      </c>
      <c r="B194" s="63" t="s">
        <v>528</v>
      </c>
      <c r="C194" s="63"/>
      <c r="D194" s="63"/>
      <c r="E194" s="74" t="s">
        <v>529</v>
      </c>
      <c r="F194" s="65">
        <f>F201+F196+F198</f>
        <v>5150000</v>
      </c>
      <c r="G194" s="66">
        <f t="shared" si="34"/>
        <v>301640</v>
      </c>
      <c r="H194" s="100">
        <f>H201+H196+H198</f>
        <v>5451640</v>
      </c>
      <c r="J194" s="63" t="s">
        <v>458</v>
      </c>
      <c r="K194" s="63" t="s">
        <v>528</v>
      </c>
      <c r="L194" s="63"/>
      <c r="M194" s="63"/>
      <c r="N194" s="74" t="s">
        <v>529</v>
      </c>
      <c r="O194" s="65" t="e">
        <f>O201+#REF!+O196+O198</f>
        <v>#REF!</v>
      </c>
      <c r="P194" s="66" t="e">
        <f t="shared" si="35"/>
        <v>#REF!</v>
      </c>
      <c r="Q194" s="100">
        <f>Q201+Q196+Q198</f>
        <v>5451640</v>
      </c>
      <c r="R194" s="100">
        <f>R201+R196+R198</f>
        <v>5451640</v>
      </c>
      <c r="S194" s="66" t="e">
        <f t="shared" si="36"/>
        <v>#REF!</v>
      </c>
      <c r="T194" s="65" t="e">
        <f>T201+#REF!+T196+T198</f>
        <v>#REF!</v>
      </c>
    </row>
    <row r="195" spans="1:20" ht="94.5" x14ac:dyDescent="0.2">
      <c r="A195" s="63" t="s">
        <v>458</v>
      </c>
      <c r="B195" s="63" t="s">
        <v>528</v>
      </c>
      <c r="C195" s="63" t="s">
        <v>869</v>
      </c>
      <c r="D195" s="63"/>
      <c r="E195" s="74" t="s">
        <v>870</v>
      </c>
      <c r="F195" s="66">
        <f>F196+F198</f>
        <v>5150000</v>
      </c>
      <c r="G195" s="66">
        <f t="shared" ref="G195:G243" si="52">H195-F195</f>
        <v>301640</v>
      </c>
      <c r="H195" s="99">
        <f>H196+H198</f>
        <v>5451640</v>
      </c>
      <c r="J195" s="63" t="s">
        <v>458</v>
      </c>
      <c r="K195" s="63" t="s">
        <v>528</v>
      </c>
      <c r="L195" s="63" t="s">
        <v>869</v>
      </c>
      <c r="M195" s="63"/>
      <c r="N195" s="74" t="s">
        <v>870</v>
      </c>
      <c r="O195" s="66">
        <f t="shared" ref="O195:T195" si="53">O196+O198</f>
        <v>663050</v>
      </c>
      <c r="P195" s="66">
        <f t="shared" ref="P195:P243" si="54">Q195-O195</f>
        <v>4788590</v>
      </c>
      <c r="Q195" s="99">
        <f t="shared" si="53"/>
        <v>5451640</v>
      </c>
      <c r="R195" s="99">
        <f t="shared" si="53"/>
        <v>5451640</v>
      </c>
      <c r="S195" s="66">
        <f t="shared" ref="S195:S259" si="55">T195-R195</f>
        <v>-5451640</v>
      </c>
      <c r="T195" s="66">
        <f t="shared" si="53"/>
        <v>0</v>
      </c>
    </row>
    <row r="196" spans="1:20" ht="95.25" customHeight="1" x14ac:dyDescent="0.2">
      <c r="A196" s="63" t="s">
        <v>458</v>
      </c>
      <c r="B196" s="63" t="s">
        <v>528</v>
      </c>
      <c r="C196" s="63" t="s">
        <v>754</v>
      </c>
      <c r="D196" s="63"/>
      <c r="E196" s="74" t="s">
        <v>755</v>
      </c>
      <c r="F196" s="66">
        <f>F197</f>
        <v>663050</v>
      </c>
      <c r="G196" s="66">
        <f t="shared" si="52"/>
        <v>301640</v>
      </c>
      <c r="H196" s="99">
        <f>H197</f>
        <v>964690</v>
      </c>
      <c r="J196" s="63" t="s">
        <v>458</v>
      </c>
      <c r="K196" s="63" t="s">
        <v>528</v>
      </c>
      <c r="L196" s="63" t="s">
        <v>754</v>
      </c>
      <c r="M196" s="63"/>
      <c r="N196" s="74" t="s">
        <v>755</v>
      </c>
      <c r="O196" s="66">
        <f t="shared" ref="O196:T196" si="56">O197</f>
        <v>663050</v>
      </c>
      <c r="P196" s="66">
        <f t="shared" si="54"/>
        <v>301640</v>
      </c>
      <c r="Q196" s="99">
        <f t="shared" si="56"/>
        <v>964690</v>
      </c>
      <c r="R196" s="99">
        <f t="shared" si="56"/>
        <v>964690</v>
      </c>
      <c r="S196" s="66">
        <f t="shared" si="55"/>
        <v>-964690</v>
      </c>
      <c r="T196" s="66">
        <f t="shared" si="56"/>
        <v>0</v>
      </c>
    </row>
    <row r="197" spans="1:20" ht="63" x14ac:dyDescent="0.2">
      <c r="A197" s="63" t="s">
        <v>458</v>
      </c>
      <c r="B197" s="63" t="s">
        <v>528</v>
      </c>
      <c r="C197" s="63" t="s">
        <v>754</v>
      </c>
      <c r="D197" s="63" t="s">
        <v>429</v>
      </c>
      <c r="E197" s="74" t="s">
        <v>437</v>
      </c>
      <c r="F197" s="66">
        <v>663050</v>
      </c>
      <c r="G197" s="66">
        <f t="shared" si="52"/>
        <v>301640</v>
      </c>
      <c r="H197" s="99">
        <v>964690</v>
      </c>
      <c r="J197" s="63" t="s">
        <v>458</v>
      </c>
      <c r="K197" s="63" t="s">
        <v>528</v>
      </c>
      <c r="L197" s="63" t="s">
        <v>754</v>
      </c>
      <c r="M197" s="63" t="s">
        <v>429</v>
      </c>
      <c r="N197" s="74" t="s">
        <v>437</v>
      </c>
      <c r="O197" s="66">
        <v>663050</v>
      </c>
      <c r="P197" s="66">
        <f t="shared" si="54"/>
        <v>301640</v>
      </c>
      <c r="Q197" s="99">
        <v>964690</v>
      </c>
      <c r="R197" s="99">
        <v>964690</v>
      </c>
      <c r="S197" s="66">
        <f t="shared" si="55"/>
        <v>-964690</v>
      </c>
      <c r="T197" s="66"/>
    </row>
    <row r="198" spans="1:20" ht="75" customHeight="1" x14ac:dyDescent="0.2">
      <c r="A198" s="63" t="s">
        <v>458</v>
      </c>
      <c r="B198" s="63" t="s">
        <v>528</v>
      </c>
      <c r="C198" s="63" t="s">
        <v>756</v>
      </c>
      <c r="D198" s="63"/>
      <c r="E198" s="74" t="s">
        <v>752</v>
      </c>
      <c r="F198" s="66">
        <f>F199</f>
        <v>4486950</v>
      </c>
      <c r="G198" s="66">
        <f t="shared" si="52"/>
        <v>0</v>
      </c>
      <c r="H198" s="99">
        <f>H199</f>
        <v>4486950</v>
      </c>
      <c r="J198" s="63" t="s">
        <v>458</v>
      </c>
      <c r="K198" s="63" t="s">
        <v>528</v>
      </c>
      <c r="L198" s="63" t="s">
        <v>756</v>
      </c>
      <c r="M198" s="63"/>
      <c r="N198" s="74" t="s">
        <v>752</v>
      </c>
      <c r="O198" s="66">
        <f t="shared" ref="O198:T198" si="57">O199</f>
        <v>0</v>
      </c>
      <c r="P198" s="66">
        <f t="shared" si="54"/>
        <v>4486950</v>
      </c>
      <c r="Q198" s="99">
        <f t="shared" si="57"/>
        <v>4486950</v>
      </c>
      <c r="R198" s="99">
        <f t="shared" si="57"/>
        <v>4486950</v>
      </c>
      <c r="S198" s="66">
        <f t="shared" si="55"/>
        <v>-4486950</v>
      </c>
      <c r="T198" s="66">
        <f t="shared" si="57"/>
        <v>0</v>
      </c>
    </row>
    <row r="199" spans="1:20" ht="63" x14ac:dyDescent="0.2">
      <c r="A199" s="63" t="s">
        <v>458</v>
      </c>
      <c r="B199" s="63" t="s">
        <v>528</v>
      </c>
      <c r="C199" s="63" t="s">
        <v>756</v>
      </c>
      <c r="D199" s="63" t="s">
        <v>429</v>
      </c>
      <c r="E199" s="74" t="s">
        <v>437</v>
      </c>
      <c r="F199" s="65">
        <v>4486950</v>
      </c>
      <c r="G199" s="66">
        <f t="shared" si="52"/>
        <v>0</v>
      </c>
      <c r="H199" s="100">
        <v>4486950</v>
      </c>
      <c r="J199" s="63" t="s">
        <v>458</v>
      </c>
      <c r="K199" s="63" t="s">
        <v>528</v>
      </c>
      <c r="L199" s="63" t="s">
        <v>756</v>
      </c>
      <c r="M199" s="63" t="s">
        <v>429</v>
      </c>
      <c r="N199" s="74" t="s">
        <v>437</v>
      </c>
      <c r="O199" s="65">
        <v>0</v>
      </c>
      <c r="P199" s="66">
        <f t="shared" si="54"/>
        <v>4486950</v>
      </c>
      <c r="Q199" s="100">
        <v>4486950</v>
      </c>
      <c r="R199" s="100">
        <v>4486950</v>
      </c>
      <c r="S199" s="66">
        <f t="shared" si="55"/>
        <v>-4486950</v>
      </c>
      <c r="T199" s="65"/>
    </row>
    <row r="200" spans="1:20" ht="57.75" customHeight="1" x14ac:dyDescent="0.2">
      <c r="A200" s="63" t="s">
        <v>458</v>
      </c>
      <c r="B200" s="63" t="s">
        <v>528</v>
      </c>
      <c r="C200" s="63" t="s">
        <v>782</v>
      </c>
      <c r="D200" s="63"/>
      <c r="E200" s="74" t="s">
        <v>783</v>
      </c>
      <c r="F200" s="65">
        <f t="shared" ref="F200:H201" si="58">F201</f>
        <v>0</v>
      </c>
      <c r="G200" s="66">
        <f t="shared" si="52"/>
        <v>0</v>
      </c>
      <c r="H200" s="100">
        <f t="shared" si="58"/>
        <v>0</v>
      </c>
      <c r="J200" s="63" t="s">
        <v>458</v>
      </c>
      <c r="K200" s="63" t="s">
        <v>528</v>
      </c>
      <c r="L200" s="63" t="s">
        <v>782</v>
      </c>
      <c r="M200" s="63"/>
      <c r="N200" s="74" t="s">
        <v>783</v>
      </c>
      <c r="O200" s="65">
        <f t="shared" ref="O200:T201" si="59">O201</f>
        <v>0</v>
      </c>
      <c r="P200" s="66">
        <f t="shared" si="54"/>
        <v>0</v>
      </c>
      <c r="Q200" s="100">
        <f t="shared" si="59"/>
        <v>0</v>
      </c>
      <c r="R200" s="100">
        <f t="shared" si="59"/>
        <v>0</v>
      </c>
      <c r="S200" s="66">
        <f t="shared" si="55"/>
        <v>0</v>
      </c>
      <c r="T200" s="65">
        <f t="shared" si="59"/>
        <v>0</v>
      </c>
    </row>
    <row r="201" spans="1:20" ht="84" x14ac:dyDescent="0.2">
      <c r="A201" s="63" t="s">
        <v>458</v>
      </c>
      <c r="B201" s="63" t="s">
        <v>528</v>
      </c>
      <c r="C201" s="63" t="s">
        <v>820</v>
      </c>
      <c r="D201" s="63"/>
      <c r="E201" s="74" t="s">
        <v>821</v>
      </c>
      <c r="F201" s="65">
        <f t="shared" si="58"/>
        <v>0</v>
      </c>
      <c r="G201" s="66">
        <f t="shared" si="52"/>
        <v>0</v>
      </c>
      <c r="H201" s="100">
        <f t="shared" si="58"/>
        <v>0</v>
      </c>
      <c r="J201" s="63" t="s">
        <v>458</v>
      </c>
      <c r="K201" s="63" t="s">
        <v>528</v>
      </c>
      <c r="L201" s="63" t="s">
        <v>820</v>
      </c>
      <c r="M201" s="63"/>
      <c r="N201" s="74" t="s">
        <v>821</v>
      </c>
      <c r="O201" s="65">
        <f t="shared" si="59"/>
        <v>0</v>
      </c>
      <c r="P201" s="66">
        <f t="shared" si="54"/>
        <v>0</v>
      </c>
      <c r="Q201" s="100">
        <f t="shared" si="59"/>
        <v>0</v>
      </c>
      <c r="R201" s="100">
        <f t="shared" si="59"/>
        <v>0</v>
      </c>
      <c r="S201" s="66">
        <f t="shared" si="55"/>
        <v>0</v>
      </c>
      <c r="T201" s="65">
        <f t="shared" si="59"/>
        <v>0</v>
      </c>
    </row>
    <row r="202" spans="1:20" ht="63" x14ac:dyDescent="0.2">
      <c r="A202" s="63" t="s">
        <v>458</v>
      </c>
      <c r="B202" s="63" t="s">
        <v>528</v>
      </c>
      <c r="C202" s="63" t="s">
        <v>820</v>
      </c>
      <c r="D202" s="63" t="s">
        <v>674</v>
      </c>
      <c r="E202" s="74" t="s">
        <v>675</v>
      </c>
      <c r="F202" s="65">
        <v>0</v>
      </c>
      <c r="G202" s="66">
        <f t="shared" si="52"/>
        <v>0</v>
      </c>
      <c r="H202" s="100">
        <v>0</v>
      </c>
      <c r="J202" s="63" t="s">
        <v>458</v>
      </c>
      <c r="K202" s="63" t="s">
        <v>528</v>
      </c>
      <c r="L202" s="63" t="s">
        <v>820</v>
      </c>
      <c r="M202" s="63" t="s">
        <v>674</v>
      </c>
      <c r="N202" s="74" t="s">
        <v>675</v>
      </c>
      <c r="O202" s="65">
        <v>0</v>
      </c>
      <c r="P202" s="66">
        <f t="shared" si="54"/>
        <v>0</v>
      </c>
      <c r="Q202" s="100">
        <v>0</v>
      </c>
      <c r="R202" s="100">
        <v>0</v>
      </c>
      <c r="S202" s="66">
        <f t="shared" si="55"/>
        <v>0</v>
      </c>
      <c r="T202" s="65">
        <v>0</v>
      </c>
    </row>
    <row r="203" spans="1:20" ht="31.5" x14ac:dyDescent="0.2">
      <c r="A203" s="63" t="s">
        <v>458</v>
      </c>
      <c r="B203" s="63" t="s">
        <v>90</v>
      </c>
      <c r="C203" s="63"/>
      <c r="D203" s="63"/>
      <c r="E203" s="74" t="s">
        <v>94</v>
      </c>
      <c r="F203" s="65">
        <f>F204</f>
        <v>0</v>
      </c>
      <c r="G203" s="66">
        <f t="shared" si="52"/>
        <v>46300</v>
      </c>
      <c r="H203" s="100">
        <f>H204</f>
        <v>46300</v>
      </c>
      <c r="J203" s="63" t="s">
        <v>458</v>
      </c>
      <c r="K203" s="63" t="s">
        <v>90</v>
      </c>
      <c r="L203" s="63"/>
      <c r="M203" s="63"/>
      <c r="N203" s="74" t="s">
        <v>94</v>
      </c>
      <c r="O203" s="65">
        <f t="shared" ref="O203:T203" si="60">O204</f>
        <v>0</v>
      </c>
      <c r="P203" s="66">
        <f t="shared" si="54"/>
        <v>46300</v>
      </c>
      <c r="Q203" s="100">
        <f t="shared" si="60"/>
        <v>46300</v>
      </c>
      <c r="R203" s="100">
        <f t="shared" si="60"/>
        <v>0</v>
      </c>
      <c r="S203" s="66">
        <f t="shared" si="55"/>
        <v>0</v>
      </c>
      <c r="T203" s="65">
        <f t="shared" si="60"/>
        <v>0</v>
      </c>
    </row>
    <row r="204" spans="1:20" ht="31.5" x14ac:dyDescent="0.2">
      <c r="A204" s="63" t="s">
        <v>458</v>
      </c>
      <c r="B204" s="63" t="s">
        <v>90</v>
      </c>
      <c r="C204" s="63" t="s">
        <v>710</v>
      </c>
      <c r="D204" s="63"/>
      <c r="E204" s="74" t="s">
        <v>711</v>
      </c>
      <c r="F204" s="65">
        <f>F205+F206</f>
        <v>0</v>
      </c>
      <c r="G204" s="66">
        <f t="shared" si="52"/>
        <v>46300</v>
      </c>
      <c r="H204" s="100">
        <f>H205+H206</f>
        <v>46300</v>
      </c>
      <c r="J204" s="63" t="s">
        <v>458</v>
      </c>
      <c r="K204" s="63" t="s">
        <v>90</v>
      </c>
      <c r="L204" s="63" t="s">
        <v>710</v>
      </c>
      <c r="M204" s="63"/>
      <c r="N204" s="74" t="s">
        <v>711</v>
      </c>
      <c r="O204" s="65">
        <f t="shared" ref="O204:T204" si="61">O205+O206</f>
        <v>0</v>
      </c>
      <c r="P204" s="66">
        <f t="shared" si="54"/>
        <v>46300</v>
      </c>
      <c r="Q204" s="100">
        <f t="shared" si="61"/>
        <v>46300</v>
      </c>
      <c r="R204" s="100">
        <f t="shared" si="61"/>
        <v>0</v>
      </c>
      <c r="S204" s="66">
        <f t="shared" si="55"/>
        <v>0</v>
      </c>
      <c r="T204" s="65">
        <f t="shared" si="61"/>
        <v>0</v>
      </c>
    </row>
    <row r="205" spans="1:20" ht="31.5" x14ac:dyDescent="0.2">
      <c r="A205" s="63" t="s">
        <v>458</v>
      </c>
      <c r="B205" s="63" t="s">
        <v>90</v>
      </c>
      <c r="C205" s="63" t="s">
        <v>710</v>
      </c>
      <c r="D205" s="63" t="s">
        <v>425</v>
      </c>
      <c r="E205" s="74" t="s">
        <v>432</v>
      </c>
      <c r="F205" s="65">
        <v>0</v>
      </c>
      <c r="G205" s="66">
        <f t="shared" si="52"/>
        <v>21300</v>
      </c>
      <c r="H205" s="100">
        <f>1300+12000+8000</f>
        <v>21300</v>
      </c>
      <c r="J205" s="63" t="s">
        <v>458</v>
      </c>
      <c r="K205" s="63" t="s">
        <v>90</v>
      </c>
      <c r="L205" s="63" t="s">
        <v>710</v>
      </c>
      <c r="M205" s="63" t="s">
        <v>425</v>
      </c>
      <c r="N205" s="74" t="s">
        <v>432</v>
      </c>
      <c r="O205" s="65">
        <v>0</v>
      </c>
      <c r="P205" s="66">
        <f t="shared" si="54"/>
        <v>21300</v>
      </c>
      <c r="Q205" s="100">
        <f>1300+12000+8000</f>
        <v>21300</v>
      </c>
      <c r="R205" s="100">
        <v>0</v>
      </c>
      <c r="S205" s="66">
        <f t="shared" si="55"/>
        <v>0</v>
      </c>
      <c r="T205" s="65">
        <v>0</v>
      </c>
    </row>
    <row r="206" spans="1:20" ht="31.5" x14ac:dyDescent="0.2">
      <c r="A206" s="63" t="s">
        <v>458</v>
      </c>
      <c r="B206" s="63" t="s">
        <v>90</v>
      </c>
      <c r="C206" s="63" t="s">
        <v>710</v>
      </c>
      <c r="D206" s="63" t="s">
        <v>423</v>
      </c>
      <c r="E206" s="74" t="s">
        <v>434</v>
      </c>
      <c r="F206" s="65">
        <v>0</v>
      </c>
      <c r="G206" s="66">
        <f t="shared" si="52"/>
        <v>25000</v>
      </c>
      <c r="H206" s="100">
        <f>25000</f>
        <v>25000</v>
      </c>
      <c r="J206" s="63" t="s">
        <v>458</v>
      </c>
      <c r="K206" s="63" t="s">
        <v>90</v>
      </c>
      <c r="L206" s="63" t="s">
        <v>710</v>
      </c>
      <c r="M206" s="63" t="s">
        <v>423</v>
      </c>
      <c r="N206" s="74" t="s">
        <v>434</v>
      </c>
      <c r="O206" s="65">
        <v>0</v>
      </c>
      <c r="P206" s="66">
        <f t="shared" si="54"/>
        <v>25000</v>
      </c>
      <c r="Q206" s="100">
        <f>25000</f>
        <v>25000</v>
      </c>
      <c r="R206" s="100">
        <v>0</v>
      </c>
      <c r="S206" s="66">
        <f t="shared" si="55"/>
        <v>0</v>
      </c>
      <c r="T206" s="65">
        <v>0</v>
      </c>
    </row>
    <row r="207" spans="1:20" x14ac:dyDescent="0.2">
      <c r="A207" s="63" t="s">
        <v>458</v>
      </c>
      <c r="B207" s="63" t="s">
        <v>10</v>
      </c>
      <c r="C207" s="63"/>
      <c r="D207" s="63"/>
      <c r="E207" s="74" t="s">
        <v>11</v>
      </c>
      <c r="F207" s="65">
        <f>F208</f>
        <v>0</v>
      </c>
      <c r="G207" s="66">
        <f t="shared" si="52"/>
        <v>390000</v>
      </c>
      <c r="H207" s="100">
        <f>H208</f>
        <v>390000</v>
      </c>
      <c r="J207" s="63" t="s">
        <v>458</v>
      </c>
      <c r="K207" s="63" t="s">
        <v>10</v>
      </c>
      <c r="L207" s="63"/>
      <c r="M207" s="63"/>
      <c r="N207" s="74" t="s">
        <v>11</v>
      </c>
      <c r="O207" s="65" t="e">
        <f>#REF!+O208</f>
        <v>#REF!</v>
      </c>
      <c r="P207" s="66" t="e">
        <f t="shared" si="54"/>
        <v>#REF!</v>
      </c>
      <c r="Q207" s="100">
        <f>Q208</f>
        <v>390000</v>
      </c>
      <c r="R207" s="100">
        <f>R208</f>
        <v>390000</v>
      </c>
      <c r="S207" s="66" t="e">
        <f t="shared" si="55"/>
        <v>#REF!</v>
      </c>
      <c r="T207" s="65" t="e">
        <f>#REF!+T208</f>
        <v>#REF!</v>
      </c>
    </row>
    <row r="208" spans="1:20" ht="48" customHeight="1" x14ac:dyDescent="0.2">
      <c r="A208" s="63" t="s">
        <v>458</v>
      </c>
      <c r="B208" s="63" t="s">
        <v>10</v>
      </c>
      <c r="C208" s="63" t="s">
        <v>977</v>
      </c>
      <c r="D208" s="63"/>
      <c r="E208" s="74" t="s">
        <v>978</v>
      </c>
      <c r="F208" s="65">
        <f>F209</f>
        <v>0</v>
      </c>
      <c r="G208" s="66">
        <f t="shared" si="52"/>
        <v>390000</v>
      </c>
      <c r="H208" s="100">
        <f>H209</f>
        <v>390000</v>
      </c>
      <c r="J208" s="63" t="s">
        <v>458</v>
      </c>
      <c r="K208" s="63" t="s">
        <v>10</v>
      </c>
      <c r="L208" s="63" t="s">
        <v>977</v>
      </c>
      <c r="M208" s="63"/>
      <c r="N208" s="74" t="s">
        <v>978</v>
      </c>
      <c r="O208" s="65">
        <f t="shared" ref="O208:T208" si="62">O209</f>
        <v>0</v>
      </c>
      <c r="P208" s="66">
        <f t="shared" si="54"/>
        <v>390000</v>
      </c>
      <c r="Q208" s="100">
        <f t="shared" si="62"/>
        <v>390000</v>
      </c>
      <c r="R208" s="100">
        <f t="shared" si="62"/>
        <v>390000</v>
      </c>
      <c r="S208" s="66">
        <f t="shared" si="55"/>
        <v>-390000</v>
      </c>
      <c r="T208" s="65">
        <f t="shared" si="62"/>
        <v>0</v>
      </c>
    </row>
    <row r="209" spans="1:20" ht="31.5" x14ac:dyDescent="0.2">
      <c r="A209" s="63" t="s">
        <v>458</v>
      </c>
      <c r="B209" s="63" t="s">
        <v>10</v>
      </c>
      <c r="C209" s="63" t="s">
        <v>977</v>
      </c>
      <c r="D209" s="63" t="s">
        <v>430</v>
      </c>
      <c r="E209" s="74" t="s">
        <v>438</v>
      </c>
      <c r="F209" s="65">
        <v>0</v>
      </c>
      <c r="G209" s="66">
        <f t="shared" si="52"/>
        <v>390000</v>
      </c>
      <c r="H209" s="100">
        <v>390000</v>
      </c>
      <c r="J209" s="63" t="s">
        <v>458</v>
      </c>
      <c r="K209" s="63" t="s">
        <v>10</v>
      </c>
      <c r="L209" s="63" t="s">
        <v>977</v>
      </c>
      <c r="M209" s="63" t="s">
        <v>430</v>
      </c>
      <c r="N209" s="74" t="s">
        <v>438</v>
      </c>
      <c r="O209" s="65">
        <v>0</v>
      </c>
      <c r="P209" s="66">
        <f t="shared" si="54"/>
        <v>390000</v>
      </c>
      <c r="Q209" s="100">
        <v>390000</v>
      </c>
      <c r="R209" s="100">
        <v>390000</v>
      </c>
      <c r="S209" s="66">
        <f t="shared" si="55"/>
        <v>-390000</v>
      </c>
      <c r="T209" s="65">
        <v>0</v>
      </c>
    </row>
    <row r="210" spans="1:20" ht="21" x14ac:dyDescent="0.2">
      <c r="A210" s="63" t="s">
        <v>458</v>
      </c>
      <c r="B210" s="63" t="s">
        <v>540</v>
      </c>
      <c r="C210" s="63"/>
      <c r="D210" s="63"/>
      <c r="E210" s="74" t="s">
        <v>541</v>
      </c>
      <c r="F210" s="65">
        <f>F212+F214+F216</f>
        <v>609210</v>
      </c>
      <c r="G210" s="66">
        <f t="shared" si="52"/>
        <v>3655190</v>
      </c>
      <c r="H210" s="100">
        <f>H212+H214+H216</f>
        <v>4264400</v>
      </c>
      <c r="J210" s="63" t="s">
        <v>458</v>
      </c>
      <c r="K210" s="63" t="s">
        <v>540</v>
      </c>
      <c r="L210" s="63"/>
      <c r="M210" s="63"/>
      <c r="N210" s="74" t="s">
        <v>541</v>
      </c>
      <c r="O210" s="65" t="e">
        <f>#REF!+O212+O214+O216</f>
        <v>#REF!</v>
      </c>
      <c r="P210" s="66" t="e">
        <f t="shared" si="54"/>
        <v>#REF!</v>
      </c>
      <c r="Q210" s="100">
        <f>Q212+Q214+Q216</f>
        <v>3198300</v>
      </c>
      <c r="R210" s="100">
        <f>R212+R214+R216</f>
        <v>3358200</v>
      </c>
      <c r="S210" s="66" t="e">
        <f t="shared" si="55"/>
        <v>#REF!</v>
      </c>
      <c r="T210" s="65" t="e">
        <f>#REF!+T212+T214+T216</f>
        <v>#REF!</v>
      </c>
    </row>
    <row r="211" spans="1:20" ht="84" x14ac:dyDescent="0.2">
      <c r="A211" s="63" t="s">
        <v>458</v>
      </c>
      <c r="B211" s="63" t="s">
        <v>540</v>
      </c>
      <c r="C211" s="63" t="s">
        <v>807</v>
      </c>
      <c r="D211" s="63"/>
      <c r="E211" s="74" t="s">
        <v>808</v>
      </c>
      <c r="F211" s="65">
        <f t="shared" ref="F211:H212" si="63">F212</f>
        <v>0</v>
      </c>
      <c r="G211" s="66">
        <f t="shared" si="52"/>
        <v>0</v>
      </c>
      <c r="H211" s="100">
        <f t="shared" si="63"/>
        <v>0</v>
      </c>
      <c r="J211" s="63" t="s">
        <v>458</v>
      </c>
      <c r="K211" s="63" t="s">
        <v>540</v>
      </c>
      <c r="L211" s="63" t="s">
        <v>807</v>
      </c>
      <c r="M211" s="63"/>
      <c r="N211" s="74" t="s">
        <v>808</v>
      </c>
      <c r="O211" s="65">
        <f t="shared" ref="O211:T212" si="64">O212</f>
        <v>0</v>
      </c>
      <c r="P211" s="66">
        <f t="shared" si="54"/>
        <v>0</v>
      </c>
      <c r="Q211" s="100">
        <f t="shared" si="64"/>
        <v>0</v>
      </c>
      <c r="R211" s="100">
        <f t="shared" si="64"/>
        <v>0</v>
      </c>
      <c r="S211" s="66">
        <f t="shared" si="55"/>
        <v>0</v>
      </c>
      <c r="T211" s="65">
        <f t="shared" si="64"/>
        <v>0</v>
      </c>
    </row>
    <row r="212" spans="1:20" ht="55.5" customHeight="1" x14ac:dyDescent="0.2">
      <c r="A212" s="63" t="s">
        <v>458</v>
      </c>
      <c r="B212" s="63" t="s">
        <v>540</v>
      </c>
      <c r="C212" s="63" t="s">
        <v>822</v>
      </c>
      <c r="D212" s="63"/>
      <c r="E212" s="74" t="s">
        <v>823</v>
      </c>
      <c r="F212" s="66">
        <f t="shared" si="63"/>
        <v>0</v>
      </c>
      <c r="G212" s="66">
        <f t="shared" si="52"/>
        <v>0</v>
      </c>
      <c r="H212" s="99">
        <f t="shared" si="63"/>
        <v>0</v>
      </c>
      <c r="J212" s="63" t="s">
        <v>458</v>
      </c>
      <c r="K212" s="63" t="s">
        <v>540</v>
      </c>
      <c r="L212" s="63" t="s">
        <v>822</v>
      </c>
      <c r="M212" s="63"/>
      <c r="N212" s="74" t="s">
        <v>823</v>
      </c>
      <c r="O212" s="66">
        <f t="shared" si="64"/>
        <v>0</v>
      </c>
      <c r="P212" s="66">
        <f t="shared" si="54"/>
        <v>0</v>
      </c>
      <c r="Q212" s="99">
        <f t="shared" si="64"/>
        <v>0</v>
      </c>
      <c r="R212" s="99">
        <f t="shared" si="64"/>
        <v>0</v>
      </c>
      <c r="S212" s="66">
        <f t="shared" si="55"/>
        <v>0</v>
      </c>
      <c r="T212" s="66">
        <f t="shared" si="64"/>
        <v>0</v>
      </c>
    </row>
    <row r="213" spans="1:20" ht="21" x14ac:dyDescent="0.2">
      <c r="A213" s="63" t="s">
        <v>458</v>
      </c>
      <c r="B213" s="63" t="s">
        <v>540</v>
      </c>
      <c r="C213" s="63" t="s">
        <v>822</v>
      </c>
      <c r="D213" s="63">
        <v>322</v>
      </c>
      <c r="E213" s="74" t="s">
        <v>439</v>
      </c>
      <c r="F213" s="66">
        <v>0</v>
      </c>
      <c r="G213" s="66">
        <f t="shared" si="52"/>
        <v>0</v>
      </c>
      <c r="H213" s="99">
        <v>0</v>
      </c>
      <c r="J213" s="63" t="s">
        <v>458</v>
      </c>
      <c r="K213" s="63" t="s">
        <v>540</v>
      </c>
      <c r="L213" s="63" t="s">
        <v>822</v>
      </c>
      <c r="M213" s="63">
        <v>322</v>
      </c>
      <c r="N213" s="74" t="s">
        <v>439</v>
      </c>
      <c r="O213" s="66">
        <v>0</v>
      </c>
      <c r="P213" s="66">
        <f t="shared" si="54"/>
        <v>0</v>
      </c>
      <c r="Q213" s="99">
        <v>0</v>
      </c>
      <c r="R213" s="99">
        <v>0</v>
      </c>
      <c r="S213" s="66">
        <f t="shared" si="55"/>
        <v>0</v>
      </c>
      <c r="T213" s="66">
        <v>0</v>
      </c>
    </row>
    <row r="214" spans="1:20" ht="155.25" customHeight="1" x14ac:dyDescent="0.2">
      <c r="A214" s="63" t="s">
        <v>458</v>
      </c>
      <c r="B214" s="63" t="s">
        <v>540</v>
      </c>
      <c r="C214" s="63" t="s">
        <v>712</v>
      </c>
      <c r="D214" s="63"/>
      <c r="E214" s="74" t="s">
        <v>713</v>
      </c>
      <c r="F214" s="66">
        <f>F215</f>
        <v>0</v>
      </c>
      <c r="G214" s="66">
        <f t="shared" si="52"/>
        <v>1218400</v>
      </c>
      <c r="H214" s="99">
        <f>H215</f>
        <v>1218400</v>
      </c>
      <c r="J214" s="63" t="s">
        <v>458</v>
      </c>
      <c r="K214" s="63" t="s">
        <v>540</v>
      </c>
      <c r="L214" s="63" t="s">
        <v>712</v>
      </c>
      <c r="M214" s="63"/>
      <c r="N214" s="74" t="s">
        <v>713</v>
      </c>
      <c r="O214" s="66">
        <f t="shared" ref="O214:T214" si="65">O215</f>
        <v>0</v>
      </c>
      <c r="P214" s="66">
        <f t="shared" si="54"/>
        <v>0</v>
      </c>
      <c r="Q214" s="99">
        <f t="shared" si="65"/>
        <v>0</v>
      </c>
      <c r="R214" s="99">
        <f t="shared" si="65"/>
        <v>0</v>
      </c>
      <c r="S214" s="66">
        <f t="shared" si="55"/>
        <v>0</v>
      </c>
      <c r="T214" s="66">
        <f t="shared" si="65"/>
        <v>0</v>
      </c>
    </row>
    <row r="215" spans="1:20" ht="42" x14ac:dyDescent="0.2">
      <c r="A215" s="63" t="s">
        <v>458</v>
      </c>
      <c r="B215" s="63" t="s">
        <v>540</v>
      </c>
      <c r="C215" s="63" t="s">
        <v>712</v>
      </c>
      <c r="D215" s="63" t="s">
        <v>333</v>
      </c>
      <c r="E215" s="74" t="s">
        <v>979</v>
      </c>
      <c r="F215" s="66">
        <v>0</v>
      </c>
      <c r="G215" s="66">
        <f t="shared" si="52"/>
        <v>1218400</v>
      </c>
      <c r="H215" s="99">
        <v>1218400</v>
      </c>
      <c r="J215" s="63" t="s">
        <v>458</v>
      </c>
      <c r="K215" s="63" t="s">
        <v>540</v>
      </c>
      <c r="L215" s="63" t="s">
        <v>712</v>
      </c>
      <c r="M215" s="63" t="s">
        <v>333</v>
      </c>
      <c r="N215" s="74" t="s">
        <v>979</v>
      </c>
      <c r="O215" s="66">
        <v>0</v>
      </c>
      <c r="P215" s="66">
        <f t="shared" si="54"/>
        <v>0</v>
      </c>
      <c r="Q215" s="99">
        <v>0</v>
      </c>
      <c r="R215" s="99">
        <v>0</v>
      </c>
      <c r="S215" s="66">
        <f t="shared" si="55"/>
        <v>0</v>
      </c>
      <c r="T215" s="66">
        <v>0</v>
      </c>
    </row>
    <row r="216" spans="1:20" ht="63" customHeight="1" x14ac:dyDescent="0.2">
      <c r="A216" s="63" t="s">
        <v>458</v>
      </c>
      <c r="B216" s="63" t="s">
        <v>540</v>
      </c>
      <c r="C216" s="63" t="s">
        <v>714</v>
      </c>
      <c r="D216" s="63"/>
      <c r="E216" s="74" t="s">
        <v>715</v>
      </c>
      <c r="F216" s="66">
        <f>F218</f>
        <v>609210</v>
      </c>
      <c r="G216" s="66">
        <f t="shared" si="52"/>
        <v>2436790</v>
      </c>
      <c r="H216" s="99">
        <f>H218+H217</f>
        <v>3046000</v>
      </c>
      <c r="J216" s="63" t="s">
        <v>458</v>
      </c>
      <c r="K216" s="63" t="s">
        <v>540</v>
      </c>
      <c r="L216" s="63" t="s">
        <v>714</v>
      </c>
      <c r="M216" s="63"/>
      <c r="N216" s="74" t="s">
        <v>715</v>
      </c>
      <c r="O216" s="66">
        <f>O218</f>
        <v>609210</v>
      </c>
      <c r="P216" s="66">
        <f t="shared" si="54"/>
        <v>2589090</v>
      </c>
      <c r="Q216" s="99">
        <f>Q218+Q217</f>
        <v>3198300</v>
      </c>
      <c r="R216" s="99">
        <f>R218+R217</f>
        <v>3358200</v>
      </c>
      <c r="S216" s="66">
        <f t="shared" si="55"/>
        <v>-3358200</v>
      </c>
      <c r="T216" s="66">
        <f>T218</f>
        <v>0</v>
      </c>
    </row>
    <row r="217" spans="1:20" ht="42" x14ac:dyDescent="0.2">
      <c r="A217" s="63" t="s">
        <v>458</v>
      </c>
      <c r="B217" s="63" t="s">
        <v>540</v>
      </c>
      <c r="C217" s="63" t="s">
        <v>714</v>
      </c>
      <c r="D217" s="63" t="s">
        <v>333</v>
      </c>
      <c r="E217" s="74" t="s">
        <v>979</v>
      </c>
      <c r="F217" s="66"/>
      <c r="G217" s="66"/>
      <c r="H217" s="99">
        <v>3046000</v>
      </c>
      <c r="J217" s="63" t="s">
        <v>458</v>
      </c>
      <c r="K217" s="63" t="s">
        <v>540</v>
      </c>
      <c r="L217" s="63" t="s">
        <v>714</v>
      </c>
      <c r="M217" s="63" t="s">
        <v>333</v>
      </c>
      <c r="N217" s="74" t="s">
        <v>979</v>
      </c>
      <c r="O217" s="66"/>
      <c r="P217" s="66"/>
      <c r="Q217" s="99">
        <v>3198300</v>
      </c>
      <c r="R217" s="99">
        <v>3358200</v>
      </c>
      <c r="S217" s="66"/>
      <c r="T217" s="66"/>
    </row>
    <row r="218" spans="1:20" ht="31.5" x14ac:dyDescent="0.2">
      <c r="A218" s="63" t="s">
        <v>458</v>
      </c>
      <c r="B218" s="63" t="s">
        <v>540</v>
      </c>
      <c r="C218" s="63" t="s">
        <v>714</v>
      </c>
      <c r="D218" s="63">
        <v>314</v>
      </c>
      <c r="E218" s="74" t="s">
        <v>440</v>
      </c>
      <c r="F218" s="66">
        <f>609200+10</f>
        <v>609210</v>
      </c>
      <c r="G218" s="66">
        <f t="shared" si="52"/>
        <v>-609210</v>
      </c>
      <c r="H218" s="99">
        <v>0</v>
      </c>
      <c r="J218" s="63" t="s">
        <v>458</v>
      </c>
      <c r="K218" s="63" t="s">
        <v>540</v>
      </c>
      <c r="L218" s="63" t="s">
        <v>714</v>
      </c>
      <c r="M218" s="63">
        <v>314</v>
      </c>
      <c r="N218" s="74" t="s">
        <v>440</v>
      </c>
      <c r="O218" s="66">
        <f>609200+10</f>
        <v>609210</v>
      </c>
      <c r="P218" s="66">
        <f t="shared" si="54"/>
        <v>-609210</v>
      </c>
      <c r="Q218" s="99">
        <v>0</v>
      </c>
      <c r="R218" s="99"/>
      <c r="S218" s="66">
        <f t="shared" si="55"/>
        <v>0</v>
      </c>
      <c r="T218" s="66"/>
    </row>
    <row r="219" spans="1:20" ht="21" x14ac:dyDescent="0.2">
      <c r="A219" s="63" t="s">
        <v>458</v>
      </c>
      <c r="B219" s="63" t="s">
        <v>51</v>
      </c>
      <c r="C219" s="63"/>
      <c r="D219" s="63"/>
      <c r="E219" s="74" t="s">
        <v>52</v>
      </c>
      <c r="F219" s="65">
        <f t="shared" ref="F219:H220" si="66">F220</f>
        <v>0</v>
      </c>
      <c r="G219" s="66">
        <f t="shared" si="52"/>
        <v>79000</v>
      </c>
      <c r="H219" s="100">
        <f t="shared" si="66"/>
        <v>79000</v>
      </c>
      <c r="J219" s="63" t="s">
        <v>458</v>
      </c>
      <c r="K219" s="63" t="s">
        <v>51</v>
      </c>
      <c r="L219" s="63"/>
      <c r="M219" s="63"/>
      <c r="N219" s="74" t="s">
        <v>52</v>
      </c>
      <c r="O219" s="65">
        <f t="shared" ref="O219:T220" si="67">O220</f>
        <v>0</v>
      </c>
      <c r="P219" s="66">
        <f t="shared" si="54"/>
        <v>79000</v>
      </c>
      <c r="Q219" s="100">
        <f t="shared" si="67"/>
        <v>79000</v>
      </c>
      <c r="R219" s="100">
        <f t="shared" si="67"/>
        <v>79000</v>
      </c>
      <c r="S219" s="66">
        <f t="shared" si="55"/>
        <v>-79000</v>
      </c>
      <c r="T219" s="65">
        <f t="shared" si="67"/>
        <v>0</v>
      </c>
    </row>
    <row r="220" spans="1:20" ht="39" customHeight="1" x14ac:dyDescent="0.2">
      <c r="A220" s="63" t="s">
        <v>458</v>
      </c>
      <c r="B220" s="63" t="s">
        <v>51</v>
      </c>
      <c r="C220" s="63" t="s">
        <v>980</v>
      </c>
      <c r="D220" s="63"/>
      <c r="E220" s="74" t="s">
        <v>981</v>
      </c>
      <c r="F220" s="65">
        <f t="shared" si="66"/>
        <v>0</v>
      </c>
      <c r="G220" s="66">
        <f t="shared" si="52"/>
        <v>79000</v>
      </c>
      <c r="H220" s="100">
        <f t="shared" si="66"/>
        <v>79000</v>
      </c>
      <c r="J220" s="63" t="s">
        <v>458</v>
      </c>
      <c r="K220" s="63" t="s">
        <v>51</v>
      </c>
      <c r="L220" s="63" t="s">
        <v>980</v>
      </c>
      <c r="M220" s="63"/>
      <c r="N220" s="74" t="s">
        <v>981</v>
      </c>
      <c r="O220" s="65">
        <f t="shared" si="67"/>
        <v>0</v>
      </c>
      <c r="P220" s="66">
        <f t="shared" si="54"/>
        <v>79000</v>
      </c>
      <c r="Q220" s="100">
        <f t="shared" si="67"/>
        <v>79000</v>
      </c>
      <c r="R220" s="100">
        <f t="shared" si="67"/>
        <v>79000</v>
      </c>
      <c r="S220" s="66">
        <f t="shared" si="55"/>
        <v>-79000</v>
      </c>
      <c r="T220" s="65">
        <f t="shared" si="67"/>
        <v>0</v>
      </c>
    </row>
    <row r="221" spans="1:20" ht="21" x14ac:dyDescent="0.2">
      <c r="A221" s="63" t="s">
        <v>458</v>
      </c>
      <c r="B221" s="63" t="s">
        <v>51</v>
      </c>
      <c r="C221" s="63" t="s">
        <v>980</v>
      </c>
      <c r="D221" s="63" t="s">
        <v>424</v>
      </c>
      <c r="E221" s="74" t="s">
        <v>431</v>
      </c>
      <c r="F221" s="65">
        <v>0</v>
      </c>
      <c r="G221" s="66">
        <f t="shared" si="52"/>
        <v>79000</v>
      </c>
      <c r="H221" s="100">
        <v>79000</v>
      </c>
      <c r="J221" s="63" t="s">
        <v>458</v>
      </c>
      <c r="K221" s="63" t="s">
        <v>51</v>
      </c>
      <c r="L221" s="63" t="s">
        <v>980</v>
      </c>
      <c r="M221" s="63" t="s">
        <v>424</v>
      </c>
      <c r="N221" s="74" t="s">
        <v>431</v>
      </c>
      <c r="O221" s="65">
        <v>0</v>
      </c>
      <c r="P221" s="66">
        <f t="shared" si="54"/>
        <v>79000</v>
      </c>
      <c r="Q221" s="100">
        <v>79000</v>
      </c>
      <c r="R221" s="100">
        <v>79000</v>
      </c>
      <c r="S221" s="66">
        <f t="shared" si="55"/>
        <v>-79000</v>
      </c>
      <c r="T221" s="65">
        <v>0</v>
      </c>
    </row>
    <row r="222" spans="1:20" x14ac:dyDescent="0.2">
      <c r="A222" s="63" t="s">
        <v>458</v>
      </c>
      <c r="B222" s="63" t="s">
        <v>641</v>
      </c>
      <c r="C222" s="75"/>
      <c r="D222" s="63"/>
      <c r="E222" s="74" t="s">
        <v>716</v>
      </c>
      <c r="F222" s="65">
        <f>F224</f>
        <v>148000</v>
      </c>
      <c r="G222" s="66">
        <f t="shared" si="52"/>
        <v>-98000</v>
      </c>
      <c r="H222" s="100">
        <f>H224</f>
        <v>50000</v>
      </c>
      <c r="J222" s="63" t="s">
        <v>458</v>
      </c>
      <c r="K222" s="63" t="s">
        <v>641</v>
      </c>
      <c r="L222" s="75"/>
      <c r="M222" s="63"/>
      <c r="N222" s="74" t="s">
        <v>716</v>
      </c>
      <c r="O222" s="65">
        <f>O224</f>
        <v>0</v>
      </c>
      <c r="P222" s="66">
        <f t="shared" si="54"/>
        <v>148000</v>
      </c>
      <c r="Q222" s="100">
        <f>Q224</f>
        <v>148000</v>
      </c>
      <c r="R222" s="100">
        <f>R224</f>
        <v>0</v>
      </c>
      <c r="S222" s="66">
        <f t="shared" si="55"/>
        <v>0</v>
      </c>
      <c r="T222" s="65">
        <f>T224</f>
        <v>0</v>
      </c>
    </row>
    <row r="223" spans="1:20" ht="63" x14ac:dyDescent="0.2">
      <c r="A223" s="63" t="s">
        <v>458</v>
      </c>
      <c r="B223" s="63" t="s">
        <v>641</v>
      </c>
      <c r="C223" s="63" t="s">
        <v>824</v>
      </c>
      <c r="D223" s="63"/>
      <c r="E223" s="74" t="s">
        <v>825</v>
      </c>
      <c r="F223" s="65">
        <f>F224</f>
        <v>148000</v>
      </c>
      <c r="G223" s="66">
        <f t="shared" si="52"/>
        <v>-98000</v>
      </c>
      <c r="H223" s="100">
        <f>H224</f>
        <v>50000</v>
      </c>
      <c r="J223" s="63" t="s">
        <v>458</v>
      </c>
      <c r="K223" s="63" t="s">
        <v>641</v>
      </c>
      <c r="L223" s="63" t="s">
        <v>824</v>
      </c>
      <c r="M223" s="63"/>
      <c r="N223" s="74" t="s">
        <v>825</v>
      </c>
      <c r="O223" s="65">
        <f t="shared" ref="O223:T224" si="68">O224</f>
        <v>0</v>
      </c>
      <c r="P223" s="66">
        <f t="shared" si="54"/>
        <v>148000</v>
      </c>
      <c r="Q223" s="100">
        <f t="shared" si="68"/>
        <v>148000</v>
      </c>
      <c r="R223" s="100">
        <f t="shared" si="68"/>
        <v>0</v>
      </c>
      <c r="S223" s="66">
        <f t="shared" si="55"/>
        <v>0</v>
      </c>
      <c r="T223" s="65">
        <f t="shared" si="68"/>
        <v>0</v>
      </c>
    </row>
    <row r="224" spans="1:20" ht="92.25" customHeight="1" x14ac:dyDescent="0.2">
      <c r="A224" s="63" t="s">
        <v>458</v>
      </c>
      <c r="B224" s="63" t="s">
        <v>641</v>
      </c>
      <c r="C224" s="63" t="s">
        <v>826</v>
      </c>
      <c r="D224" s="63"/>
      <c r="E224" s="74" t="s">
        <v>827</v>
      </c>
      <c r="F224" s="65">
        <f>F225</f>
        <v>148000</v>
      </c>
      <c r="G224" s="66">
        <f t="shared" si="52"/>
        <v>-98000</v>
      </c>
      <c r="H224" s="100">
        <f>H225</f>
        <v>50000</v>
      </c>
      <c r="J224" s="63" t="s">
        <v>458</v>
      </c>
      <c r="K224" s="63" t="s">
        <v>641</v>
      </c>
      <c r="L224" s="63" t="s">
        <v>826</v>
      </c>
      <c r="M224" s="63"/>
      <c r="N224" s="74" t="s">
        <v>827</v>
      </c>
      <c r="O224" s="65">
        <f t="shared" si="68"/>
        <v>0</v>
      </c>
      <c r="P224" s="66">
        <f t="shared" si="54"/>
        <v>148000</v>
      </c>
      <c r="Q224" s="100">
        <f t="shared" si="68"/>
        <v>148000</v>
      </c>
      <c r="R224" s="100">
        <f t="shared" si="68"/>
        <v>0</v>
      </c>
      <c r="S224" s="66">
        <f t="shared" si="55"/>
        <v>0</v>
      </c>
      <c r="T224" s="65">
        <f t="shared" si="68"/>
        <v>0</v>
      </c>
    </row>
    <row r="225" spans="1:20" ht="31.5" x14ac:dyDescent="0.2">
      <c r="A225" s="63" t="s">
        <v>458</v>
      </c>
      <c r="B225" s="63" t="s">
        <v>641</v>
      </c>
      <c r="C225" s="63" t="s">
        <v>826</v>
      </c>
      <c r="D225" s="63" t="s">
        <v>423</v>
      </c>
      <c r="E225" s="74" t="s">
        <v>434</v>
      </c>
      <c r="F225" s="65">
        <v>148000</v>
      </c>
      <c r="G225" s="66">
        <f t="shared" si="52"/>
        <v>-98000</v>
      </c>
      <c r="H225" s="100">
        <f>50000</f>
        <v>50000</v>
      </c>
      <c r="J225" s="63" t="s">
        <v>458</v>
      </c>
      <c r="K225" s="63" t="s">
        <v>641</v>
      </c>
      <c r="L225" s="63" t="s">
        <v>826</v>
      </c>
      <c r="M225" s="63" t="s">
        <v>423</v>
      </c>
      <c r="N225" s="74" t="s">
        <v>434</v>
      </c>
      <c r="O225" s="65">
        <v>0</v>
      </c>
      <c r="P225" s="66">
        <f t="shared" si="54"/>
        <v>148000</v>
      </c>
      <c r="Q225" s="100">
        <f>94000+54000</f>
        <v>148000</v>
      </c>
      <c r="R225" s="100"/>
      <c r="S225" s="66">
        <f t="shared" si="55"/>
        <v>0</v>
      </c>
      <c r="T225" s="65"/>
    </row>
    <row r="226" spans="1:20" x14ac:dyDescent="0.2">
      <c r="A226" s="63" t="s">
        <v>458</v>
      </c>
      <c r="B226" s="63" t="s">
        <v>649</v>
      </c>
      <c r="C226" s="75"/>
      <c r="D226" s="63"/>
      <c r="E226" s="74" t="s">
        <v>718</v>
      </c>
      <c r="F226" s="65" t="e">
        <f>F228+#REF!</f>
        <v>#REF!</v>
      </c>
      <c r="G226" s="66" t="e">
        <f t="shared" si="52"/>
        <v>#REF!</v>
      </c>
      <c r="H226" s="100">
        <f>H228</f>
        <v>150000</v>
      </c>
      <c r="J226" s="63" t="s">
        <v>458</v>
      </c>
      <c r="K226" s="63" t="s">
        <v>649</v>
      </c>
      <c r="L226" s="75"/>
      <c r="M226" s="63"/>
      <c r="N226" s="74" t="s">
        <v>718</v>
      </c>
      <c r="O226" s="65" t="e">
        <f>O228+#REF!</f>
        <v>#REF!</v>
      </c>
      <c r="P226" s="66" t="e">
        <f t="shared" si="54"/>
        <v>#REF!</v>
      </c>
      <c r="Q226" s="100">
        <f>Q228</f>
        <v>175000</v>
      </c>
      <c r="R226" s="100">
        <f>R228</f>
        <v>0</v>
      </c>
      <c r="S226" s="66" t="e">
        <f t="shared" si="55"/>
        <v>#REF!</v>
      </c>
      <c r="T226" s="65" t="e">
        <f>T228+#REF!</f>
        <v>#REF!</v>
      </c>
    </row>
    <row r="227" spans="1:20" ht="45.75" customHeight="1" x14ac:dyDescent="0.2">
      <c r="A227" s="63" t="s">
        <v>458</v>
      </c>
      <c r="B227" s="63" t="s">
        <v>649</v>
      </c>
      <c r="C227" s="63" t="s">
        <v>824</v>
      </c>
      <c r="D227" s="63"/>
      <c r="E227" s="74" t="s">
        <v>825</v>
      </c>
      <c r="F227" s="65">
        <f>F228</f>
        <v>0</v>
      </c>
      <c r="G227" s="66">
        <f t="shared" si="52"/>
        <v>150000</v>
      </c>
      <c r="H227" s="100">
        <f>H228</f>
        <v>150000</v>
      </c>
      <c r="J227" s="63" t="s">
        <v>458</v>
      </c>
      <c r="K227" s="63" t="s">
        <v>649</v>
      </c>
      <c r="L227" s="63" t="s">
        <v>824</v>
      </c>
      <c r="M227" s="63"/>
      <c r="N227" s="74" t="s">
        <v>825</v>
      </c>
      <c r="O227" s="65">
        <f t="shared" ref="O227:T228" si="69">O228</f>
        <v>0</v>
      </c>
      <c r="P227" s="66">
        <f t="shared" si="54"/>
        <v>175000</v>
      </c>
      <c r="Q227" s="100">
        <f t="shared" si="69"/>
        <v>175000</v>
      </c>
      <c r="R227" s="100">
        <f t="shared" si="69"/>
        <v>0</v>
      </c>
      <c r="S227" s="66">
        <f t="shared" si="55"/>
        <v>0</v>
      </c>
      <c r="T227" s="65">
        <f t="shared" si="69"/>
        <v>0</v>
      </c>
    </row>
    <row r="228" spans="1:20" ht="64.5" customHeight="1" x14ac:dyDescent="0.2">
      <c r="A228" s="63" t="s">
        <v>458</v>
      </c>
      <c r="B228" s="63" t="s">
        <v>649</v>
      </c>
      <c r="C228" s="63" t="s">
        <v>826</v>
      </c>
      <c r="D228" s="63"/>
      <c r="E228" s="74" t="s">
        <v>827</v>
      </c>
      <c r="F228" s="65">
        <f>F229</f>
        <v>0</v>
      </c>
      <c r="G228" s="66">
        <f t="shared" si="52"/>
        <v>150000</v>
      </c>
      <c r="H228" s="100">
        <f>H229</f>
        <v>150000</v>
      </c>
      <c r="J228" s="63" t="s">
        <v>458</v>
      </c>
      <c r="K228" s="63" t="s">
        <v>649</v>
      </c>
      <c r="L228" s="63" t="s">
        <v>826</v>
      </c>
      <c r="M228" s="63"/>
      <c r="N228" s="74" t="s">
        <v>827</v>
      </c>
      <c r="O228" s="65">
        <f t="shared" si="69"/>
        <v>0</v>
      </c>
      <c r="P228" s="66">
        <f t="shared" si="54"/>
        <v>175000</v>
      </c>
      <c r="Q228" s="100">
        <f t="shared" si="69"/>
        <v>175000</v>
      </c>
      <c r="R228" s="100">
        <f t="shared" si="69"/>
        <v>0</v>
      </c>
      <c r="S228" s="66">
        <f t="shared" si="55"/>
        <v>0</v>
      </c>
      <c r="T228" s="65">
        <f t="shared" si="69"/>
        <v>0</v>
      </c>
    </row>
    <row r="229" spans="1:20" ht="31.5" x14ac:dyDescent="0.2">
      <c r="A229" s="63" t="s">
        <v>458</v>
      </c>
      <c r="B229" s="63" t="s">
        <v>649</v>
      </c>
      <c r="C229" s="63" t="s">
        <v>826</v>
      </c>
      <c r="D229" s="63" t="s">
        <v>423</v>
      </c>
      <c r="E229" s="74" t="s">
        <v>434</v>
      </c>
      <c r="F229" s="65">
        <v>0</v>
      </c>
      <c r="G229" s="66">
        <f t="shared" si="52"/>
        <v>150000</v>
      </c>
      <c r="H229" s="100">
        <v>150000</v>
      </c>
      <c r="J229" s="63" t="s">
        <v>458</v>
      </c>
      <c r="K229" s="63" t="s">
        <v>649</v>
      </c>
      <c r="L229" s="63" t="s">
        <v>826</v>
      </c>
      <c r="M229" s="63" t="s">
        <v>423</v>
      </c>
      <c r="N229" s="74" t="s">
        <v>434</v>
      </c>
      <c r="O229" s="65">
        <v>0</v>
      </c>
      <c r="P229" s="66">
        <f t="shared" si="54"/>
        <v>175000</v>
      </c>
      <c r="Q229" s="100">
        <v>175000</v>
      </c>
      <c r="R229" s="100">
        <v>0</v>
      </c>
      <c r="S229" s="66">
        <f t="shared" si="55"/>
        <v>0</v>
      </c>
      <c r="T229" s="65">
        <v>0</v>
      </c>
    </row>
    <row r="230" spans="1:20" x14ac:dyDescent="0.2">
      <c r="A230" s="63" t="s">
        <v>458</v>
      </c>
      <c r="B230" s="63" t="s">
        <v>655</v>
      </c>
      <c r="C230" s="63"/>
      <c r="D230" s="63"/>
      <c r="E230" s="74" t="s">
        <v>720</v>
      </c>
      <c r="F230" s="65">
        <f>F232</f>
        <v>466000</v>
      </c>
      <c r="G230" s="66">
        <f t="shared" si="52"/>
        <v>-146000</v>
      </c>
      <c r="H230" s="100">
        <f>H232</f>
        <v>320000</v>
      </c>
      <c r="J230" s="63" t="s">
        <v>458</v>
      </c>
      <c r="K230" s="63" t="s">
        <v>655</v>
      </c>
      <c r="L230" s="63"/>
      <c r="M230" s="63"/>
      <c r="N230" s="74" t="s">
        <v>720</v>
      </c>
      <c r="O230" s="65">
        <f>O232</f>
        <v>0</v>
      </c>
      <c r="P230" s="66">
        <f t="shared" si="54"/>
        <v>372000</v>
      </c>
      <c r="Q230" s="100">
        <f>Q232</f>
        <v>372000</v>
      </c>
      <c r="R230" s="100">
        <f>R232</f>
        <v>0</v>
      </c>
      <c r="S230" s="66">
        <f t="shared" si="55"/>
        <v>0</v>
      </c>
      <c r="T230" s="65">
        <f>T232</f>
        <v>0</v>
      </c>
    </row>
    <row r="231" spans="1:20" ht="63" x14ac:dyDescent="0.2">
      <c r="A231" s="63" t="s">
        <v>458</v>
      </c>
      <c r="B231" s="63" t="s">
        <v>655</v>
      </c>
      <c r="C231" s="63" t="s">
        <v>824</v>
      </c>
      <c r="D231" s="63"/>
      <c r="E231" s="74" t="s">
        <v>825</v>
      </c>
      <c r="F231" s="65">
        <f>F232</f>
        <v>466000</v>
      </c>
      <c r="G231" s="66">
        <f t="shared" si="52"/>
        <v>-146000</v>
      </c>
      <c r="H231" s="100">
        <f>H232</f>
        <v>320000</v>
      </c>
      <c r="J231" s="63" t="s">
        <v>458</v>
      </c>
      <c r="K231" s="63" t="s">
        <v>655</v>
      </c>
      <c r="L231" s="63" t="s">
        <v>824</v>
      </c>
      <c r="M231" s="63"/>
      <c r="N231" s="74" t="s">
        <v>825</v>
      </c>
      <c r="O231" s="65">
        <f t="shared" ref="O231:T232" si="70">O232</f>
        <v>0</v>
      </c>
      <c r="P231" s="66">
        <f t="shared" si="54"/>
        <v>372000</v>
      </c>
      <c r="Q231" s="100">
        <f t="shared" si="70"/>
        <v>372000</v>
      </c>
      <c r="R231" s="100">
        <f t="shared" si="70"/>
        <v>0</v>
      </c>
      <c r="S231" s="66">
        <f t="shared" si="55"/>
        <v>0</v>
      </c>
      <c r="T231" s="65">
        <f t="shared" si="70"/>
        <v>0</v>
      </c>
    </row>
    <row r="232" spans="1:20" ht="80.25" customHeight="1" x14ac:dyDescent="0.2">
      <c r="A232" s="63" t="s">
        <v>458</v>
      </c>
      <c r="B232" s="63" t="s">
        <v>655</v>
      </c>
      <c r="C232" s="63" t="s">
        <v>826</v>
      </c>
      <c r="D232" s="63"/>
      <c r="E232" s="74" t="s">
        <v>827</v>
      </c>
      <c r="F232" s="65">
        <f>F233</f>
        <v>466000</v>
      </c>
      <c r="G232" s="66">
        <f t="shared" si="52"/>
        <v>-146000</v>
      </c>
      <c r="H232" s="100">
        <f>H233</f>
        <v>320000</v>
      </c>
      <c r="J232" s="63" t="s">
        <v>458</v>
      </c>
      <c r="K232" s="63" t="s">
        <v>655</v>
      </c>
      <c r="L232" s="63" t="s">
        <v>826</v>
      </c>
      <c r="M232" s="63"/>
      <c r="N232" s="74" t="s">
        <v>827</v>
      </c>
      <c r="O232" s="65">
        <f t="shared" si="70"/>
        <v>0</v>
      </c>
      <c r="P232" s="66">
        <f t="shared" si="54"/>
        <v>372000</v>
      </c>
      <c r="Q232" s="100">
        <f t="shared" si="70"/>
        <v>372000</v>
      </c>
      <c r="R232" s="100">
        <f t="shared" si="70"/>
        <v>0</v>
      </c>
      <c r="S232" s="66">
        <f t="shared" si="55"/>
        <v>0</v>
      </c>
      <c r="T232" s="65">
        <f t="shared" si="70"/>
        <v>0</v>
      </c>
    </row>
    <row r="233" spans="1:20" ht="31.5" x14ac:dyDescent="0.2">
      <c r="A233" s="63" t="s">
        <v>458</v>
      </c>
      <c r="B233" s="63" t="s">
        <v>655</v>
      </c>
      <c r="C233" s="63" t="s">
        <v>826</v>
      </c>
      <c r="D233" s="63" t="s">
        <v>423</v>
      </c>
      <c r="E233" s="74" t="s">
        <v>434</v>
      </c>
      <c r="F233" s="65">
        <v>466000</v>
      </c>
      <c r="G233" s="66">
        <f t="shared" si="52"/>
        <v>-146000</v>
      </c>
      <c r="H233" s="100">
        <f>20000+100000+100000+100000</f>
        <v>320000</v>
      </c>
      <c r="J233" s="63" t="s">
        <v>458</v>
      </c>
      <c r="K233" s="63" t="s">
        <v>655</v>
      </c>
      <c r="L233" s="63" t="s">
        <v>826</v>
      </c>
      <c r="M233" s="63" t="s">
        <v>423</v>
      </c>
      <c r="N233" s="74" t="s">
        <v>434</v>
      </c>
      <c r="O233" s="65">
        <v>0</v>
      </c>
      <c r="P233" s="66">
        <f t="shared" si="54"/>
        <v>372000</v>
      </c>
      <c r="Q233" s="100">
        <f>20000+105000+101000+146000</f>
        <v>372000</v>
      </c>
      <c r="R233" s="100"/>
      <c r="S233" s="66">
        <f t="shared" si="55"/>
        <v>0</v>
      </c>
      <c r="T233" s="65"/>
    </row>
    <row r="234" spans="1:20" x14ac:dyDescent="0.2">
      <c r="A234" s="63" t="s">
        <v>458</v>
      </c>
      <c r="B234" s="63" t="s">
        <v>982</v>
      </c>
      <c r="C234" s="63"/>
      <c r="D234" s="63"/>
      <c r="E234" s="74" t="s">
        <v>983</v>
      </c>
      <c r="F234" s="65"/>
      <c r="G234" s="66"/>
      <c r="H234" s="100">
        <f>H236</f>
        <v>200000</v>
      </c>
      <c r="J234" s="63" t="s">
        <v>458</v>
      </c>
      <c r="K234" s="63" t="s">
        <v>982</v>
      </c>
      <c r="L234" s="63"/>
      <c r="M234" s="63"/>
      <c r="N234" s="74" t="s">
        <v>983</v>
      </c>
      <c r="O234" s="65"/>
      <c r="P234" s="66"/>
      <c r="Q234" s="100">
        <f>Q236</f>
        <v>200000</v>
      </c>
      <c r="R234" s="100">
        <f>R236</f>
        <v>200000</v>
      </c>
      <c r="S234" s="66"/>
      <c r="T234" s="65"/>
    </row>
    <row r="235" spans="1:20" ht="41.25" customHeight="1" x14ac:dyDescent="0.2">
      <c r="A235" s="63" t="s">
        <v>458</v>
      </c>
      <c r="B235" s="63" t="s">
        <v>982</v>
      </c>
      <c r="C235" s="63" t="s">
        <v>828</v>
      </c>
      <c r="D235" s="63"/>
      <c r="E235" s="74" t="s">
        <v>829</v>
      </c>
      <c r="F235" s="65"/>
      <c r="G235" s="66"/>
      <c r="H235" s="100">
        <f>H236</f>
        <v>200000</v>
      </c>
      <c r="J235" s="63" t="s">
        <v>458</v>
      </c>
      <c r="K235" s="63" t="s">
        <v>982</v>
      </c>
      <c r="L235" s="63" t="s">
        <v>828</v>
      </c>
      <c r="M235" s="63"/>
      <c r="N235" s="74" t="s">
        <v>829</v>
      </c>
      <c r="O235" s="65"/>
      <c r="P235" s="66"/>
      <c r="Q235" s="100">
        <f>Q236</f>
        <v>200000</v>
      </c>
      <c r="R235" s="100">
        <f>R236</f>
        <v>200000</v>
      </c>
      <c r="S235" s="66"/>
      <c r="T235" s="65"/>
    </row>
    <row r="236" spans="1:20" ht="42" customHeight="1" x14ac:dyDescent="0.2">
      <c r="A236" s="63" t="s">
        <v>458</v>
      </c>
      <c r="B236" s="63" t="s">
        <v>982</v>
      </c>
      <c r="C236" s="63" t="s">
        <v>831</v>
      </c>
      <c r="D236" s="63"/>
      <c r="E236" s="74" t="s">
        <v>724</v>
      </c>
      <c r="F236" s="65"/>
      <c r="G236" s="66"/>
      <c r="H236" s="100">
        <f>H237</f>
        <v>200000</v>
      </c>
      <c r="J236" s="63" t="s">
        <v>458</v>
      </c>
      <c r="K236" s="63" t="s">
        <v>982</v>
      </c>
      <c r="L236" s="63" t="s">
        <v>831</v>
      </c>
      <c r="M236" s="63"/>
      <c r="N236" s="74" t="s">
        <v>724</v>
      </c>
      <c r="O236" s="65"/>
      <c r="P236" s="66"/>
      <c r="Q236" s="100">
        <f>Q237</f>
        <v>200000</v>
      </c>
      <c r="R236" s="100">
        <f>R237</f>
        <v>200000</v>
      </c>
      <c r="S236" s="66"/>
      <c r="T236" s="65"/>
    </row>
    <row r="237" spans="1:20" ht="31.5" x14ac:dyDescent="0.2">
      <c r="A237" s="63" t="s">
        <v>458</v>
      </c>
      <c r="B237" s="63" t="s">
        <v>982</v>
      </c>
      <c r="C237" s="63" t="s">
        <v>831</v>
      </c>
      <c r="D237" s="63" t="s">
        <v>428</v>
      </c>
      <c r="E237" s="74" t="s">
        <v>436</v>
      </c>
      <c r="F237" s="65"/>
      <c r="G237" s="66"/>
      <c r="H237" s="100">
        <v>200000</v>
      </c>
      <c r="J237" s="63" t="s">
        <v>458</v>
      </c>
      <c r="K237" s="63" t="s">
        <v>982</v>
      </c>
      <c r="L237" s="63" t="s">
        <v>831</v>
      </c>
      <c r="M237" s="63" t="s">
        <v>428</v>
      </c>
      <c r="N237" s="74" t="s">
        <v>436</v>
      </c>
      <c r="O237" s="65"/>
      <c r="P237" s="66"/>
      <c r="Q237" s="100">
        <v>200000</v>
      </c>
      <c r="R237" s="100">
        <v>200000</v>
      </c>
      <c r="S237" s="66"/>
      <c r="T237" s="65"/>
    </row>
    <row r="238" spans="1:20" ht="21" x14ac:dyDescent="0.2">
      <c r="A238" s="63" t="s">
        <v>458</v>
      </c>
      <c r="B238" s="63" t="s">
        <v>415</v>
      </c>
      <c r="C238" s="63"/>
      <c r="D238" s="63"/>
      <c r="E238" s="74" t="s">
        <v>638</v>
      </c>
      <c r="F238" s="65">
        <f>F240+F242</f>
        <v>2322000</v>
      </c>
      <c r="G238" s="66">
        <f t="shared" si="52"/>
        <v>-200000</v>
      </c>
      <c r="H238" s="100">
        <f>H240+H242</f>
        <v>2122000</v>
      </c>
      <c r="J238" s="63" t="s">
        <v>458</v>
      </c>
      <c r="K238" s="63" t="s">
        <v>415</v>
      </c>
      <c r="L238" s="63"/>
      <c r="M238" s="63"/>
      <c r="N238" s="74" t="s">
        <v>638</v>
      </c>
      <c r="O238" s="65" t="e">
        <f>O240+O242+#REF!</f>
        <v>#REF!</v>
      </c>
      <c r="P238" s="66" t="e">
        <f t="shared" si="54"/>
        <v>#REF!</v>
      </c>
      <c r="Q238" s="100">
        <f>Q240+Q242</f>
        <v>2122000</v>
      </c>
      <c r="R238" s="100">
        <f>R240+R242</f>
        <v>2122000</v>
      </c>
      <c r="S238" s="66" t="e">
        <f t="shared" si="55"/>
        <v>#REF!</v>
      </c>
      <c r="T238" s="65" t="e">
        <f>T240+T242+#REF!</f>
        <v>#REF!</v>
      </c>
    </row>
    <row r="239" spans="1:20" ht="66" customHeight="1" x14ac:dyDescent="0.2">
      <c r="A239" s="63" t="s">
        <v>458</v>
      </c>
      <c r="B239" s="63" t="s">
        <v>415</v>
      </c>
      <c r="C239" s="63" t="s">
        <v>828</v>
      </c>
      <c r="D239" s="63"/>
      <c r="E239" s="74" t="s">
        <v>829</v>
      </c>
      <c r="F239" s="65">
        <f>F240+F242</f>
        <v>2322000</v>
      </c>
      <c r="G239" s="66">
        <f t="shared" si="52"/>
        <v>-200000</v>
      </c>
      <c r="H239" s="100">
        <f>H240+H242</f>
        <v>2122000</v>
      </c>
      <c r="J239" s="63" t="s">
        <v>458</v>
      </c>
      <c r="K239" s="63" t="s">
        <v>415</v>
      </c>
      <c r="L239" s="63" t="s">
        <v>828</v>
      </c>
      <c r="M239" s="63"/>
      <c r="N239" s="74" t="s">
        <v>829</v>
      </c>
      <c r="O239" s="65">
        <f t="shared" ref="O239:T239" si="71">O240+O242</f>
        <v>2322000</v>
      </c>
      <c r="P239" s="66">
        <f t="shared" si="54"/>
        <v>-200000</v>
      </c>
      <c r="Q239" s="100">
        <f t="shared" si="71"/>
        <v>2122000</v>
      </c>
      <c r="R239" s="100">
        <f t="shared" si="71"/>
        <v>2122000</v>
      </c>
      <c r="S239" s="66">
        <f t="shared" si="55"/>
        <v>-2122000</v>
      </c>
      <c r="T239" s="65">
        <f t="shared" si="71"/>
        <v>0</v>
      </c>
    </row>
    <row r="240" spans="1:20" ht="59.25" customHeight="1" x14ac:dyDescent="0.2">
      <c r="A240" s="63" t="s">
        <v>458</v>
      </c>
      <c r="B240" s="63" t="s">
        <v>415</v>
      </c>
      <c r="C240" s="63" t="s">
        <v>830</v>
      </c>
      <c r="D240" s="63"/>
      <c r="E240" s="74" t="s">
        <v>722</v>
      </c>
      <c r="F240" s="65">
        <f>F241</f>
        <v>1875000</v>
      </c>
      <c r="G240" s="66">
        <f t="shared" si="52"/>
        <v>247000</v>
      </c>
      <c r="H240" s="100">
        <f>H241</f>
        <v>2122000</v>
      </c>
      <c r="J240" s="63" t="s">
        <v>458</v>
      </c>
      <c r="K240" s="63" t="s">
        <v>415</v>
      </c>
      <c r="L240" s="63" t="s">
        <v>830</v>
      </c>
      <c r="M240" s="63"/>
      <c r="N240" s="74" t="s">
        <v>722</v>
      </c>
      <c r="O240" s="65">
        <f t="shared" ref="O240:T240" si="72">O241</f>
        <v>1875000</v>
      </c>
      <c r="P240" s="66">
        <f t="shared" si="54"/>
        <v>247000</v>
      </c>
      <c r="Q240" s="100">
        <f t="shared" si="72"/>
        <v>2122000</v>
      </c>
      <c r="R240" s="100">
        <f t="shared" si="72"/>
        <v>2122000</v>
      </c>
      <c r="S240" s="66">
        <f t="shared" si="55"/>
        <v>-2122000</v>
      </c>
      <c r="T240" s="65">
        <f t="shared" si="72"/>
        <v>0</v>
      </c>
    </row>
    <row r="241" spans="1:20" ht="31.5" x14ac:dyDescent="0.2">
      <c r="A241" s="63" t="s">
        <v>458</v>
      </c>
      <c r="B241" s="63" t="s">
        <v>415</v>
      </c>
      <c r="C241" s="63" t="s">
        <v>830</v>
      </c>
      <c r="D241" s="63" t="s">
        <v>428</v>
      </c>
      <c r="E241" s="74" t="s">
        <v>436</v>
      </c>
      <c r="F241" s="65">
        <v>1875000</v>
      </c>
      <c r="G241" s="66">
        <f t="shared" si="52"/>
        <v>247000</v>
      </c>
      <c r="H241" s="100">
        <v>2122000</v>
      </c>
      <c r="J241" s="63" t="s">
        <v>458</v>
      </c>
      <c r="K241" s="63" t="s">
        <v>415</v>
      </c>
      <c r="L241" s="63" t="s">
        <v>830</v>
      </c>
      <c r="M241" s="63" t="s">
        <v>428</v>
      </c>
      <c r="N241" s="74" t="s">
        <v>436</v>
      </c>
      <c r="O241" s="65">
        <v>1875000</v>
      </c>
      <c r="P241" s="66">
        <f t="shared" si="54"/>
        <v>247000</v>
      </c>
      <c r="Q241" s="100">
        <v>2122000</v>
      </c>
      <c r="R241" s="100">
        <v>2122000</v>
      </c>
      <c r="S241" s="66">
        <f t="shared" si="55"/>
        <v>-2122000</v>
      </c>
      <c r="T241" s="65"/>
    </row>
    <row r="242" spans="1:20" ht="60" customHeight="1" x14ac:dyDescent="0.2">
      <c r="A242" s="63" t="s">
        <v>458</v>
      </c>
      <c r="B242" s="63" t="s">
        <v>415</v>
      </c>
      <c r="C242" s="63" t="s">
        <v>831</v>
      </c>
      <c r="D242" s="63"/>
      <c r="E242" s="74" t="s">
        <v>724</v>
      </c>
      <c r="F242" s="65">
        <f>F243</f>
        <v>447000</v>
      </c>
      <c r="G242" s="66">
        <f t="shared" si="52"/>
        <v>-447000</v>
      </c>
      <c r="H242" s="100">
        <f>H243</f>
        <v>0</v>
      </c>
      <c r="J242" s="63" t="s">
        <v>458</v>
      </c>
      <c r="K242" s="63" t="s">
        <v>415</v>
      </c>
      <c r="L242" s="63" t="s">
        <v>831</v>
      </c>
      <c r="M242" s="63"/>
      <c r="N242" s="74" t="s">
        <v>724</v>
      </c>
      <c r="O242" s="65">
        <f t="shared" ref="O242:T242" si="73">O243</f>
        <v>447000</v>
      </c>
      <c r="P242" s="66">
        <f t="shared" si="54"/>
        <v>-447000</v>
      </c>
      <c r="Q242" s="100">
        <f t="shared" si="73"/>
        <v>0</v>
      </c>
      <c r="R242" s="100">
        <f t="shared" si="73"/>
        <v>0</v>
      </c>
      <c r="S242" s="66">
        <f t="shared" si="55"/>
        <v>0</v>
      </c>
      <c r="T242" s="65">
        <f t="shared" si="73"/>
        <v>0</v>
      </c>
    </row>
    <row r="243" spans="1:20" ht="31.5" x14ac:dyDescent="0.2">
      <c r="A243" s="63" t="s">
        <v>458</v>
      </c>
      <c r="B243" s="63" t="s">
        <v>415</v>
      </c>
      <c r="C243" s="63" t="s">
        <v>831</v>
      </c>
      <c r="D243" s="63" t="s">
        <v>428</v>
      </c>
      <c r="E243" s="74" t="s">
        <v>436</v>
      </c>
      <c r="F243" s="65">
        <v>447000</v>
      </c>
      <c r="G243" s="66">
        <f t="shared" si="52"/>
        <v>-447000</v>
      </c>
      <c r="H243" s="100">
        <v>0</v>
      </c>
      <c r="J243" s="63" t="s">
        <v>458</v>
      </c>
      <c r="K243" s="63" t="s">
        <v>415</v>
      </c>
      <c r="L243" s="63" t="s">
        <v>831</v>
      </c>
      <c r="M243" s="63" t="s">
        <v>428</v>
      </c>
      <c r="N243" s="74" t="s">
        <v>436</v>
      </c>
      <c r="O243" s="65">
        <v>447000</v>
      </c>
      <c r="P243" s="66">
        <f t="shared" si="54"/>
        <v>-447000</v>
      </c>
      <c r="Q243" s="100">
        <v>0</v>
      </c>
      <c r="R243" s="100"/>
      <c r="S243" s="66">
        <f t="shared" si="55"/>
        <v>0</v>
      </c>
      <c r="T243" s="65"/>
    </row>
    <row r="244" spans="1:20" ht="52.5" x14ac:dyDescent="0.2">
      <c r="A244" s="70" t="s">
        <v>570</v>
      </c>
      <c r="B244" s="73"/>
      <c r="C244" s="70"/>
      <c r="D244" s="70"/>
      <c r="E244" s="69" t="s">
        <v>571</v>
      </c>
      <c r="F244" s="68" t="e">
        <f>F245+F257+F282</f>
        <v>#REF!</v>
      </c>
      <c r="G244" s="68" t="e">
        <f>G245+G257+G282</f>
        <v>#REF!</v>
      </c>
      <c r="H244" s="97">
        <f>H245+H257+H282+H251</f>
        <v>30520800</v>
      </c>
      <c r="J244" s="70" t="s">
        <v>570</v>
      </c>
      <c r="K244" s="73"/>
      <c r="L244" s="70"/>
      <c r="M244" s="70"/>
      <c r="N244" s="69" t="s">
        <v>571</v>
      </c>
      <c r="O244" s="68" t="e">
        <f>O245+O257+O282</f>
        <v>#REF!</v>
      </c>
      <c r="P244" s="68" t="e">
        <f>P245+P257+P282</f>
        <v>#REF!</v>
      </c>
      <c r="Q244" s="97">
        <f>Q245+Q257+Q282+Q251</f>
        <v>30225200</v>
      </c>
      <c r="R244" s="97">
        <f>R245+R257+R282+R251</f>
        <v>30014000</v>
      </c>
      <c r="S244" s="68" t="e">
        <f>S245+S257+S282</f>
        <v>#REF!</v>
      </c>
      <c r="T244" s="68" t="e">
        <f>T245+T257+T282</f>
        <v>#REF!</v>
      </c>
    </row>
    <row r="245" spans="1:20" x14ac:dyDescent="0.2">
      <c r="A245" s="63" t="s">
        <v>570</v>
      </c>
      <c r="B245" s="63" t="s">
        <v>528</v>
      </c>
      <c r="C245" s="63"/>
      <c r="D245" s="63"/>
      <c r="E245" s="74" t="s">
        <v>529</v>
      </c>
      <c r="F245" s="66">
        <f>F247+F249</f>
        <v>3702000</v>
      </c>
      <c r="G245" s="66">
        <f t="shared" ref="G245:G300" si="74">H245-F245</f>
        <v>126660</v>
      </c>
      <c r="H245" s="99">
        <f>H247+H249</f>
        <v>3828660</v>
      </c>
      <c r="J245" s="63" t="s">
        <v>570</v>
      </c>
      <c r="K245" s="63" t="s">
        <v>528</v>
      </c>
      <c r="L245" s="63"/>
      <c r="M245" s="63"/>
      <c r="N245" s="74" t="s">
        <v>529</v>
      </c>
      <c r="O245" s="66" t="e">
        <f>O247+O249+#REF!</f>
        <v>#REF!</v>
      </c>
      <c r="P245" s="66" t="e">
        <f t="shared" ref="P245:P300" si="75">Q245-O245</f>
        <v>#REF!</v>
      </c>
      <c r="Q245" s="99">
        <f>Q247+Q249</f>
        <v>3828660</v>
      </c>
      <c r="R245" s="99">
        <f>R247+R249</f>
        <v>3828660</v>
      </c>
      <c r="S245" s="66" t="e">
        <f t="shared" si="55"/>
        <v>#REF!</v>
      </c>
      <c r="T245" s="66" t="e">
        <f>T247+T249+#REF!</f>
        <v>#REF!</v>
      </c>
    </row>
    <row r="246" spans="1:20" ht="94.5" x14ac:dyDescent="0.2">
      <c r="A246" s="63" t="s">
        <v>570</v>
      </c>
      <c r="B246" s="63" t="s">
        <v>528</v>
      </c>
      <c r="C246" s="63" t="s">
        <v>899</v>
      </c>
      <c r="D246" s="63"/>
      <c r="E246" s="74" t="s">
        <v>902</v>
      </c>
      <c r="F246" s="66">
        <f>F247+F249</f>
        <v>3702000</v>
      </c>
      <c r="G246" s="66">
        <f t="shared" si="74"/>
        <v>126660</v>
      </c>
      <c r="H246" s="99">
        <f>H247+H249</f>
        <v>3828660</v>
      </c>
      <c r="J246" s="63" t="s">
        <v>570</v>
      </c>
      <c r="K246" s="63" t="s">
        <v>528</v>
      </c>
      <c r="L246" s="63" t="s">
        <v>899</v>
      </c>
      <c r="M246" s="63"/>
      <c r="N246" s="74" t="s">
        <v>902</v>
      </c>
      <c r="O246" s="66">
        <f t="shared" ref="O246:T246" si="76">O247+O249</f>
        <v>3858160</v>
      </c>
      <c r="P246" s="66">
        <f t="shared" si="75"/>
        <v>-29500</v>
      </c>
      <c r="Q246" s="99">
        <f t="shared" si="76"/>
        <v>3828660</v>
      </c>
      <c r="R246" s="99">
        <f t="shared" si="76"/>
        <v>3828660</v>
      </c>
      <c r="S246" s="66">
        <f t="shared" si="55"/>
        <v>-3828660</v>
      </c>
      <c r="T246" s="66">
        <f t="shared" si="76"/>
        <v>0</v>
      </c>
    </row>
    <row r="247" spans="1:20" ht="115.5" x14ac:dyDescent="0.2">
      <c r="A247" s="63" t="s">
        <v>570</v>
      </c>
      <c r="B247" s="63" t="s">
        <v>528</v>
      </c>
      <c r="C247" s="63" t="s">
        <v>900</v>
      </c>
      <c r="D247" s="63"/>
      <c r="E247" s="74" t="s">
        <v>903</v>
      </c>
      <c r="F247" s="66">
        <f>F248</f>
        <v>99000</v>
      </c>
      <c r="G247" s="66">
        <f t="shared" si="74"/>
        <v>126660</v>
      </c>
      <c r="H247" s="99">
        <f>H248</f>
        <v>225660</v>
      </c>
      <c r="J247" s="63" t="s">
        <v>570</v>
      </c>
      <c r="K247" s="63" t="s">
        <v>528</v>
      </c>
      <c r="L247" s="63" t="s">
        <v>900</v>
      </c>
      <c r="M247" s="63"/>
      <c r="N247" s="74" t="s">
        <v>903</v>
      </c>
      <c r="O247" s="66">
        <f t="shared" ref="O247:T247" si="77">O248</f>
        <v>255160</v>
      </c>
      <c r="P247" s="66">
        <f t="shared" si="75"/>
        <v>-29500</v>
      </c>
      <c r="Q247" s="99">
        <f t="shared" si="77"/>
        <v>225660</v>
      </c>
      <c r="R247" s="99">
        <f t="shared" si="77"/>
        <v>225660</v>
      </c>
      <c r="S247" s="66">
        <f t="shared" si="55"/>
        <v>-225660</v>
      </c>
      <c r="T247" s="66">
        <f t="shared" si="77"/>
        <v>0</v>
      </c>
    </row>
    <row r="248" spans="1:20" ht="63" x14ac:dyDescent="0.2">
      <c r="A248" s="63" t="s">
        <v>570</v>
      </c>
      <c r="B248" s="63" t="s">
        <v>528</v>
      </c>
      <c r="C248" s="63" t="s">
        <v>900</v>
      </c>
      <c r="D248" s="63" t="s">
        <v>429</v>
      </c>
      <c r="E248" s="74" t="s">
        <v>437</v>
      </c>
      <c r="F248" s="65">
        <v>99000</v>
      </c>
      <c r="G248" s="66">
        <f t="shared" si="74"/>
        <v>126660</v>
      </c>
      <c r="H248" s="100">
        <v>225660</v>
      </c>
      <c r="J248" s="63" t="s">
        <v>570</v>
      </c>
      <c r="K248" s="63" t="s">
        <v>528</v>
      </c>
      <c r="L248" s="63" t="s">
        <v>900</v>
      </c>
      <c r="M248" s="63" t="s">
        <v>429</v>
      </c>
      <c r="N248" s="74" t="s">
        <v>437</v>
      </c>
      <c r="O248" s="65">
        <f>99000+156160</f>
        <v>255160</v>
      </c>
      <c r="P248" s="66">
        <f t="shared" si="75"/>
        <v>-29500</v>
      </c>
      <c r="Q248" s="100">
        <v>225660</v>
      </c>
      <c r="R248" s="100">
        <v>225660</v>
      </c>
      <c r="S248" s="66">
        <f t="shared" si="55"/>
        <v>-225660</v>
      </c>
      <c r="T248" s="65"/>
    </row>
    <row r="249" spans="1:20" ht="84" x14ac:dyDescent="0.2">
      <c r="A249" s="63" t="s">
        <v>570</v>
      </c>
      <c r="B249" s="63" t="s">
        <v>528</v>
      </c>
      <c r="C249" s="63" t="s">
        <v>901</v>
      </c>
      <c r="D249" s="63"/>
      <c r="E249" s="74" t="s">
        <v>904</v>
      </c>
      <c r="F249" s="65">
        <f>F250</f>
        <v>3603000</v>
      </c>
      <c r="G249" s="66">
        <f t="shared" si="74"/>
        <v>0</v>
      </c>
      <c r="H249" s="100">
        <f>H250</f>
        <v>3603000</v>
      </c>
      <c r="J249" s="63" t="s">
        <v>570</v>
      </c>
      <c r="K249" s="63" t="s">
        <v>528</v>
      </c>
      <c r="L249" s="63" t="s">
        <v>901</v>
      </c>
      <c r="M249" s="63"/>
      <c r="N249" s="74" t="s">
        <v>904</v>
      </c>
      <c r="O249" s="65">
        <f t="shared" ref="O249:T249" si="78">O250</f>
        <v>3603000</v>
      </c>
      <c r="P249" s="66">
        <f t="shared" si="75"/>
        <v>0</v>
      </c>
      <c r="Q249" s="100">
        <f t="shared" si="78"/>
        <v>3603000</v>
      </c>
      <c r="R249" s="100">
        <f t="shared" si="78"/>
        <v>3603000</v>
      </c>
      <c r="S249" s="66">
        <f t="shared" si="55"/>
        <v>-3603000</v>
      </c>
      <c r="T249" s="65">
        <f t="shared" si="78"/>
        <v>0</v>
      </c>
    </row>
    <row r="250" spans="1:20" ht="63" x14ac:dyDescent="0.2">
      <c r="A250" s="63" t="s">
        <v>570</v>
      </c>
      <c r="B250" s="63" t="s">
        <v>528</v>
      </c>
      <c r="C250" s="63" t="s">
        <v>901</v>
      </c>
      <c r="D250" s="63" t="s">
        <v>429</v>
      </c>
      <c r="E250" s="74" t="s">
        <v>437</v>
      </c>
      <c r="F250" s="65">
        <v>3603000</v>
      </c>
      <c r="G250" s="66">
        <f t="shared" si="74"/>
        <v>0</v>
      </c>
      <c r="H250" s="100">
        <v>3603000</v>
      </c>
      <c r="J250" s="63" t="s">
        <v>570</v>
      </c>
      <c r="K250" s="63" t="s">
        <v>528</v>
      </c>
      <c r="L250" s="63" t="s">
        <v>901</v>
      </c>
      <c r="M250" s="63" t="s">
        <v>429</v>
      </c>
      <c r="N250" s="74" t="s">
        <v>437</v>
      </c>
      <c r="O250" s="65">
        <v>3603000</v>
      </c>
      <c r="P250" s="66">
        <f t="shared" si="75"/>
        <v>0</v>
      </c>
      <c r="Q250" s="100">
        <v>3603000</v>
      </c>
      <c r="R250" s="100">
        <v>3603000</v>
      </c>
      <c r="S250" s="66">
        <f t="shared" si="55"/>
        <v>-3603000</v>
      </c>
      <c r="T250" s="65"/>
    </row>
    <row r="251" spans="1:20" ht="21" x14ac:dyDescent="0.2">
      <c r="A251" s="63" t="s">
        <v>570</v>
      </c>
      <c r="B251" s="63" t="s">
        <v>601</v>
      </c>
      <c r="C251" s="63"/>
      <c r="D251" s="63"/>
      <c r="E251" s="74" t="s">
        <v>602</v>
      </c>
      <c r="F251" s="65"/>
      <c r="G251" s="66">
        <f t="shared" si="74"/>
        <v>141900</v>
      </c>
      <c r="H251" s="100">
        <f>H253</f>
        <v>141900</v>
      </c>
      <c r="J251" s="63" t="s">
        <v>570</v>
      </c>
      <c r="K251" s="63" t="s">
        <v>601</v>
      </c>
      <c r="L251" s="63"/>
      <c r="M251" s="63"/>
      <c r="N251" s="74" t="s">
        <v>602</v>
      </c>
      <c r="O251" s="65"/>
      <c r="P251" s="66"/>
      <c r="Q251" s="100">
        <f>Q253</f>
        <v>225400</v>
      </c>
      <c r="R251" s="100">
        <f>R253</f>
        <v>82800</v>
      </c>
      <c r="S251" s="66"/>
      <c r="T251" s="65"/>
    </row>
    <row r="252" spans="1:20" ht="94.5" x14ac:dyDescent="0.2">
      <c r="A252" s="63" t="s">
        <v>570</v>
      </c>
      <c r="B252" s="63" t="s">
        <v>601</v>
      </c>
      <c r="C252" s="63" t="s">
        <v>848</v>
      </c>
      <c r="D252" s="63"/>
      <c r="E252" s="74" t="s">
        <v>992</v>
      </c>
      <c r="F252" s="65"/>
      <c r="G252" s="66"/>
      <c r="H252" s="100">
        <f>H253</f>
        <v>141900</v>
      </c>
      <c r="J252" s="63" t="s">
        <v>570</v>
      </c>
      <c r="K252" s="63" t="s">
        <v>601</v>
      </c>
      <c r="L252" s="63" t="s">
        <v>848</v>
      </c>
      <c r="M252" s="63"/>
      <c r="N252" s="74" t="s">
        <v>992</v>
      </c>
      <c r="O252" s="65"/>
      <c r="P252" s="66"/>
      <c r="Q252" s="100">
        <f>Q253</f>
        <v>225400</v>
      </c>
      <c r="R252" s="100">
        <f>R253</f>
        <v>82800</v>
      </c>
      <c r="S252" s="66"/>
      <c r="T252" s="65"/>
    </row>
    <row r="253" spans="1:20" ht="84" x14ac:dyDescent="0.2">
      <c r="A253" s="63" t="s">
        <v>570</v>
      </c>
      <c r="B253" s="63" t="s">
        <v>601</v>
      </c>
      <c r="C253" s="63" t="s">
        <v>850</v>
      </c>
      <c r="D253" s="63"/>
      <c r="E253" s="74" t="s">
        <v>993</v>
      </c>
      <c r="F253" s="65"/>
      <c r="G253" s="66"/>
      <c r="H253" s="100">
        <f>H254+H255+H256</f>
        <v>141900</v>
      </c>
      <c r="J253" s="63" t="s">
        <v>570</v>
      </c>
      <c r="K253" s="63" t="s">
        <v>601</v>
      </c>
      <c r="L253" s="63" t="s">
        <v>850</v>
      </c>
      <c r="M253" s="63"/>
      <c r="N253" s="74" t="s">
        <v>993</v>
      </c>
      <c r="O253" s="65"/>
      <c r="P253" s="66"/>
      <c r="Q253" s="100">
        <f>Q254+Q255+Q256</f>
        <v>225400</v>
      </c>
      <c r="R253" s="100">
        <f>R254+R255+R256</f>
        <v>82800</v>
      </c>
      <c r="S253" s="66"/>
      <c r="T253" s="65"/>
    </row>
    <row r="254" spans="1:20" ht="21" x14ac:dyDescent="0.2">
      <c r="A254" s="63" t="s">
        <v>570</v>
      </c>
      <c r="B254" s="63" t="s">
        <v>601</v>
      </c>
      <c r="C254" s="63" t="s">
        <v>850</v>
      </c>
      <c r="D254" s="63" t="s">
        <v>424</v>
      </c>
      <c r="E254" s="74" t="s">
        <v>431</v>
      </c>
      <c r="F254" s="65"/>
      <c r="G254" s="66"/>
      <c r="H254" s="100">
        <f>63600+19200</f>
        <v>82800</v>
      </c>
      <c r="J254" s="63" t="s">
        <v>570</v>
      </c>
      <c r="K254" s="63" t="s">
        <v>601</v>
      </c>
      <c r="L254" s="63" t="s">
        <v>850</v>
      </c>
      <c r="M254" s="63" t="s">
        <v>424</v>
      </c>
      <c r="N254" s="74" t="s">
        <v>431</v>
      </c>
      <c r="O254" s="65"/>
      <c r="P254" s="66"/>
      <c r="Q254" s="100">
        <f>63600+19200</f>
        <v>82800</v>
      </c>
      <c r="R254" s="100">
        <f>63600+19200</f>
        <v>82800</v>
      </c>
      <c r="S254" s="66"/>
      <c r="T254" s="65"/>
    </row>
    <row r="255" spans="1:20" ht="31.5" x14ac:dyDescent="0.2">
      <c r="A255" s="63" t="s">
        <v>570</v>
      </c>
      <c r="B255" s="63" t="s">
        <v>601</v>
      </c>
      <c r="C255" s="63" t="s">
        <v>850</v>
      </c>
      <c r="D255" s="63" t="s">
        <v>425</v>
      </c>
      <c r="E255" s="74" t="s">
        <v>432</v>
      </c>
      <c r="F255" s="65"/>
      <c r="G255" s="66"/>
      <c r="H255" s="100">
        <f>1100</f>
        <v>1100</v>
      </c>
      <c r="J255" s="63" t="s">
        <v>570</v>
      </c>
      <c r="K255" s="63" t="s">
        <v>601</v>
      </c>
      <c r="L255" s="63" t="s">
        <v>850</v>
      </c>
      <c r="M255" s="63" t="s">
        <v>425</v>
      </c>
      <c r="N255" s="74" t="s">
        <v>432</v>
      </c>
      <c r="O255" s="65"/>
      <c r="P255" s="66"/>
      <c r="Q255" s="100">
        <f>1100</f>
        <v>1100</v>
      </c>
      <c r="R255" s="100"/>
      <c r="S255" s="66"/>
      <c r="T255" s="65"/>
    </row>
    <row r="256" spans="1:20" ht="31.5" x14ac:dyDescent="0.2">
      <c r="A256" s="63" t="s">
        <v>570</v>
      </c>
      <c r="B256" s="63" t="s">
        <v>601</v>
      </c>
      <c r="C256" s="63" t="s">
        <v>850</v>
      </c>
      <c r="D256" s="63" t="s">
        <v>423</v>
      </c>
      <c r="E256" s="74" t="s">
        <v>434</v>
      </c>
      <c r="F256" s="65"/>
      <c r="G256" s="66"/>
      <c r="H256" s="100">
        <f>50000+8000</f>
        <v>58000</v>
      </c>
      <c r="J256" s="63" t="s">
        <v>570</v>
      </c>
      <c r="K256" s="63" t="s">
        <v>601</v>
      </c>
      <c r="L256" s="63" t="s">
        <v>850</v>
      </c>
      <c r="M256" s="63" t="s">
        <v>423</v>
      </c>
      <c r="N256" s="74" t="s">
        <v>434</v>
      </c>
      <c r="O256" s="65"/>
      <c r="P256" s="66"/>
      <c r="Q256" s="100">
        <f>125500+16000</f>
        <v>141500</v>
      </c>
      <c r="R256" s="100"/>
      <c r="S256" s="66"/>
      <c r="T256" s="65"/>
    </row>
    <row r="257" spans="1:20" x14ac:dyDescent="0.2">
      <c r="A257" s="63" t="s">
        <v>570</v>
      </c>
      <c r="B257" s="63" t="s">
        <v>573</v>
      </c>
      <c r="C257" s="63"/>
      <c r="D257" s="63"/>
      <c r="E257" s="74" t="s">
        <v>574</v>
      </c>
      <c r="F257" s="66">
        <f>F259+F261+F263+F268+F275+F277+F280+F272</f>
        <v>19814250</v>
      </c>
      <c r="G257" s="66">
        <f t="shared" si="74"/>
        <v>2896050</v>
      </c>
      <c r="H257" s="99">
        <f>H259+H261+H263+H268+H275+H277+H280+H272+H265</f>
        <v>22710300</v>
      </c>
      <c r="J257" s="63" t="s">
        <v>570</v>
      </c>
      <c r="K257" s="63" t="s">
        <v>573</v>
      </c>
      <c r="L257" s="63"/>
      <c r="M257" s="63"/>
      <c r="N257" s="74" t="s">
        <v>574</v>
      </c>
      <c r="O257" s="66" t="e">
        <f>O259+O261+O263+O268+O275+O277+#REF!+#REF!+#REF!+#REF!+#REF!+#REF!+#REF!+#REF!+#REF!+O280+O272</f>
        <v>#REF!</v>
      </c>
      <c r="P257" s="66" t="e">
        <f t="shared" si="75"/>
        <v>#REF!</v>
      </c>
      <c r="Q257" s="99">
        <f>Q259+Q261+Q263+Q268+Q275+Q277+Q280+Q272+Q265</f>
        <v>22418300</v>
      </c>
      <c r="R257" s="99">
        <f>R259+R261+R263+R268+R275+R277+R280+R272+R265</f>
        <v>22418300</v>
      </c>
      <c r="S257" s="66" t="e">
        <f t="shared" si="55"/>
        <v>#REF!</v>
      </c>
      <c r="T257" s="66" t="e">
        <f>T259+T261+T263+T268+T275+T277+#REF!+#REF!+#REF!+#REF!+#REF!+#REF!+#REF!+#REF!+#REF!+T280+T272</f>
        <v>#REF!</v>
      </c>
    </row>
    <row r="258" spans="1:20" ht="63" x14ac:dyDescent="0.2">
      <c r="A258" s="63" t="s">
        <v>570</v>
      </c>
      <c r="B258" s="63" t="s">
        <v>573</v>
      </c>
      <c r="C258" s="63" t="s">
        <v>832</v>
      </c>
      <c r="D258" s="63"/>
      <c r="E258" s="74" t="s">
        <v>833</v>
      </c>
      <c r="F258" s="66">
        <f>F259+F261+F263</f>
        <v>14484250</v>
      </c>
      <c r="G258" s="66">
        <f t="shared" si="74"/>
        <v>980250</v>
      </c>
      <c r="H258" s="99">
        <f>H259+H261+H263</f>
        <v>15464500</v>
      </c>
      <c r="J258" s="63" t="s">
        <v>570</v>
      </c>
      <c r="K258" s="63" t="s">
        <v>573</v>
      </c>
      <c r="L258" s="63" t="s">
        <v>832</v>
      </c>
      <c r="M258" s="63"/>
      <c r="N258" s="74" t="s">
        <v>833</v>
      </c>
      <c r="O258" s="66">
        <f t="shared" ref="O258:T258" si="79">O259+O261+O263</f>
        <v>14484250</v>
      </c>
      <c r="P258" s="66">
        <f t="shared" si="75"/>
        <v>1030250</v>
      </c>
      <c r="Q258" s="99">
        <f t="shared" si="79"/>
        <v>15514500</v>
      </c>
      <c r="R258" s="99">
        <f t="shared" si="79"/>
        <v>15514500</v>
      </c>
      <c r="S258" s="66">
        <f t="shared" si="55"/>
        <v>-15514500</v>
      </c>
      <c r="T258" s="66">
        <f t="shared" si="79"/>
        <v>0</v>
      </c>
    </row>
    <row r="259" spans="1:20" ht="115.5" x14ac:dyDescent="0.2">
      <c r="A259" s="63" t="s">
        <v>570</v>
      </c>
      <c r="B259" s="63" t="s">
        <v>573</v>
      </c>
      <c r="C259" s="63" t="s">
        <v>725</v>
      </c>
      <c r="D259" s="63"/>
      <c r="E259" s="74" t="s">
        <v>726</v>
      </c>
      <c r="F259" s="66">
        <f>F260</f>
        <v>883650</v>
      </c>
      <c r="G259" s="66">
        <f t="shared" si="74"/>
        <v>3409750</v>
      </c>
      <c r="H259" s="99">
        <f>H260</f>
        <v>4293400</v>
      </c>
      <c r="J259" s="63" t="s">
        <v>570</v>
      </c>
      <c r="K259" s="63" t="s">
        <v>573</v>
      </c>
      <c r="L259" s="63" t="s">
        <v>725</v>
      </c>
      <c r="M259" s="63"/>
      <c r="N259" s="74" t="s">
        <v>726</v>
      </c>
      <c r="O259" s="66">
        <f t="shared" ref="O259:T259" si="80">O260</f>
        <v>883650</v>
      </c>
      <c r="P259" s="66">
        <f t="shared" si="75"/>
        <v>3409750</v>
      </c>
      <c r="Q259" s="99">
        <f t="shared" si="80"/>
        <v>4293400</v>
      </c>
      <c r="R259" s="99">
        <f t="shared" si="80"/>
        <v>4293400</v>
      </c>
      <c r="S259" s="66">
        <f t="shared" si="55"/>
        <v>-4293400</v>
      </c>
      <c r="T259" s="66">
        <f t="shared" si="80"/>
        <v>0</v>
      </c>
    </row>
    <row r="260" spans="1:20" ht="63" x14ac:dyDescent="0.2">
      <c r="A260" s="63" t="s">
        <v>570</v>
      </c>
      <c r="B260" s="63" t="s">
        <v>573</v>
      </c>
      <c r="C260" s="63" t="s">
        <v>725</v>
      </c>
      <c r="D260" s="63" t="s">
        <v>429</v>
      </c>
      <c r="E260" s="74" t="s">
        <v>437</v>
      </c>
      <c r="F260" s="66">
        <v>883650</v>
      </c>
      <c r="G260" s="66">
        <f t="shared" si="74"/>
        <v>3409750</v>
      </c>
      <c r="H260" s="99">
        <v>4293400</v>
      </c>
      <c r="J260" s="63" t="s">
        <v>570</v>
      </c>
      <c r="K260" s="63" t="s">
        <v>573</v>
      </c>
      <c r="L260" s="63" t="s">
        <v>725</v>
      </c>
      <c r="M260" s="63" t="s">
        <v>429</v>
      </c>
      <c r="N260" s="74" t="s">
        <v>437</v>
      </c>
      <c r="O260" s="66">
        <v>883650</v>
      </c>
      <c r="P260" s="66">
        <f t="shared" si="75"/>
        <v>3409750</v>
      </c>
      <c r="Q260" s="99">
        <v>4293400</v>
      </c>
      <c r="R260" s="99">
        <v>4293400</v>
      </c>
      <c r="S260" s="66">
        <f t="shared" ref="S260:S323" si="81">T260-R260</f>
        <v>-4293400</v>
      </c>
      <c r="T260" s="66"/>
    </row>
    <row r="261" spans="1:20" ht="105" x14ac:dyDescent="0.2">
      <c r="A261" s="63" t="s">
        <v>570</v>
      </c>
      <c r="B261" s="63" t="s">
        <v>573</v>
      </c>
      <c r="C261" s="63" t="s">
        <v>727</v>
      </c>
      <c r="D261" s="63"/>
      <c r="E261" s="74" t="s">
        <v>728</v>
      </c>
      <c r="F261" s="66">
        <f>F262</f>
        <v>13240600</v>
      </c>
      <c r="G261" s="66">
        <f t="shared" si="74"/>
        <v>-2269500</v>
      </c>
      <c r="H261" s="99">
        <f>H262</f>
        <v>10971100</v>
      </c>
      <c r="J261" s="63" t="s">
        <v>570</v>
      </c>
      <c r="K261" s="63" t="s">
        <v>573</v>
      </c>
      <c r="L261" s="63" t="s">
        <v>727</v>
      </c>
      <c r="M261" s="63"/>
      <c r="N261" s="74" t="s">
        <v>728</v>
      </c>
      <c r="O261" s="66">
        <f t="shared" ref="O261:T261" si="82">O262</f>
        <v>13240600</v>
      </c>
      <c r="P261" s="66">
        <f t="shared" si="75"/>
        <v>-2269500</v>
      </c>
      <c r="Q261" s="99">
        <f t="shared" si="82"/>
        <v>10971100</v>
      </c>
      <c r="R261" s="99">
        <f t="shared" si="82"/>
        <v>10971100</v>
      </c>
      <c r="S261" s="66">
        <f t="shared" si="81"/>
        <v>-10971100</v>
      </c>
      <c r="T261" s="66">
        <f t="shared" si="82"/>
        <v>0</v>
      </c>
    </row>
    <row r="262" spans="1:20" ht="63" x14ac:dyDescent="0.2">
      <c r="A262" s="63" t="s">
        <v>570</v>
      </c>
      <c r="B262" s="63" t="s">
        <v>573</v>
      </c>
      <c r="C262" s="63" t="s">
        <v>727</v>
      </c>
      <c r="D262" s="63" t="s">
        <v>429</v>
      </c>
      <c r="E262" s="74" t="s">
        <v>437</v>
      </c>
      <c r="F262" s="66">
        <f>13640600-400000</f>
        <v>13240600</v>
      </c>
      <c r="G262" s="66">
        <f t="shared" si="74"/>
        <v>-2269500</v>
      </c>
      <c r="H262" s="99">
        <v>10971100</v>
      </c>
      <c r="J262" s="63" t="s">
        <v>570</v>
      </c>
      <c r="K262" s="63" t="s">
        <v>573</v>
      </c>
      <c r="L262" s="63" t="s">
        <v>727</v>
      </c>
      <c r="M262" s="63" t="s">
        <v>429</v>
      </c>
      <c r="N262" s="74" t="s">
        <v>437</v>
      </c>
      <c r="O262" s="66">
        <f>13640600-400000</f>
        <v>13240600</v>
      </c>
      <c r="P262" s="66">
        <f t="shared" si="75"/>
        <v>-2269500</v>
      </c>
      <c r="Q262" s="99">
        <v>10971100</v>
      </c>
      <c r="R262" s="99">
        <v>10971100</v>
      </c>
      <c r="S262" s="66">
        <f t="shared" si="81"/>
        <v>-10971100</v>
      </c>
      <c r="T262" s="66"/>
    </row>
    <row r="263" spans="1:20" ht="147" x14ac:dyDescent="0.2">
      <c r="A263" s="63" t="s">
        <v>570</v>
      </c>
      <c r="B263" s="63" t="s">
        <v>573</v>
      </c>
      <c r="C263" s="63" t="s">
        <v>729</v>
      </c>
      <c r="D263" s="63"/>
      <c r="E263" s="74" t="s">
        <v>730</v>
      </c>
      <c r="F263" s="66">
        <f>F264</f>
        <v>360000</v>
      </c>
      <c r="G263" s="66">
        <f t="shared" si="74"/>
        <v>-160000</v>
      </c>
      <c r="H263" s="99">
        <f>H264</f>
        <v>200000</v>
      </c>
      <c r="J263" s="63" t="s">
        <v>570</v>
      </c>
      <c r="K263" s="63" t="s">
        <v>573</v>
      </c>
      <c r="L263" s="63" t="s">
        <v>729</v>
      </c>
      <c r="M263" s="63"/>
      <c r="N263" s="74" t="s">
        <v>730</v>
      </c>
      <c r="O263" s="66">
        <f t="shared" ref="O263:T263" si="83">O264</f>
        <v>360000</v>
      </c>
      <c r="P263" s="66">
        <f t="shared" si="75"/>
        <v>-110000</v>
      </c>
      <c r="Q263" s="99">
        <f t="shared" si="83"/>
        <v>250000</v>
      </c>
      <c r="R263" s="99">
        <f t="shared" si="83"/>
        <v>250000</v>
      </c>
      <c r="S263" s="66">
        <f t="shared" si="81"/>
        <v>-250000</v>
      </c>
      <c r="T263" s="66">
        <f t="shared" si="83"/>
        <v>0</v>
      </c>
    </row>
    <row r="264" spans="1:20" ht="63" x14ac:dyDescent="0.2">
      <c r="A264" s="63" t="s">
        <v>570</v>
      </c>
      <c r="B264" s="63" t="s">
        <v>573</v>
      </c>
      <c r="C264" s="63" t="s">
        <v>729</v>
      </c>
      <c r="D264" s="63" t="s">
        <v>429</v>
      </c>
      <c r="E264" s="74" t="s">
        <v>437</v>
      </c>
      <c r="F264" s="66">
        <v>360000</v>
      </c>
      <c r="G264" s="66">
        <f t="shared" si="74"/>
        <v>-160000</v>
      </c>
      <c r="H264" s="99">
        <v>200000</v>
      </c>
      <c r="J264" s="63" t="s">
        <v>570</v>
      </c>
      <c r="K264" s="63" t="s">
        <v>573</v>
      </c>
      <c r="L264" s="63" t="s">
        <v>729</v>
      </c>
      <c r="M264" s="63" t="s">
        <v>429</v>
      </c>
      <c r="N264" s="74" t="s">
        <v>437</v>
      </c>
      <c r="O264" s="66">
        <v>360000</v>
      </c>
      <c r="P264" s="66">
        <f t="shared" si="75"/>
        <v>-110000</v>
      </c>
      <c r="Q264" s="99">
        <v>250000</v>
      </c>
      <c r="R264" s="99">
        <v>250000</v>
      </c>
      <c r="S264" s="66">
        <f t="shared" si="81"/>
        <v>-250000</v>
      </c>
      <c r="T264" s="66"/>
    </row>
    <row r="265" spans="1:20" ht="105" x14ac:dyDescent="0.2">
      <c r="A265" s="63" t="s">
        <v>570</v>
      </c>
      <c r="B265" s="63" t="s">
        <v>573</v>
      </c>
      <c r="C265" s="63" t="s">
        <v>994</v>
      </c>
      <c r="D265" s="63"/>
      <c r="E265" s="74" t="s">
        <v>995</v>
      </c>
      <c r="F265" s="66"/>
      <c r="G265" s="66"/>
      <c r="H265" s="99">
        <f>H266</f>
        <v>5800</v>
      </c>
      <c r="J265" s="63" t="s">
        <v>570</v>
      </c>
      <c r="K265" s="63" t="s">
        <v>573</v>
      </c>
      <c r="L265" s="63" t="s">
        <v>994</v>
      </c>
      <c r="M265" s="63"/>
      <c r="N265" s="74" t="s">
        <v>995</v>
      </c>
      <c r="O265" s="66"/>
      <c r="P265" s="66"/>
      <c r="Q265" s="99">
        <f>Q266</f>
        <v>5800</v>
      </c>
      <c r="R265" s="99">
        <f>R266</f>
        <v>5800</v>
      </c>
      <c r="S265" s="66"/>
      <c r="T265" s="66"/>
    </row>
    <row r="266" spans="1:20" ht="21" x14ac:dyDescent="0.2">
      <c r="A266" s="63" t="s">
        <v>570</v>
      </c>
      <c r="B266" s="63" t="s">
        <v>573</v>
      </c>
      <c r="C266" s="63" t="s">
        <v>994</v>
      </c>
      <c r="D266" s="63" t="s">
        <v>331</v>
      </c>
      <c r="E266" s="74" t="s">
        <v>332</v>
      </c>
      <c r="F266" s="66"/>
      <c r="G266" s="66"/>
      <c r="H266" s="99">
        <v>5800</v>
      </c>
      <c r="J266" s="63" t="s">
        <v>570</v>
      </c>
      <c r="K266" s="63" t="s">
        <v>573</v>
      </c>
      <c r="L266" s="63" t="s">
        <v>994</v>
      </c>
      <c r="M266" s="63" t="s">
        <v>331</v>
      </c>
      <c r="N266" s="74" t="s">
        <v>332</v>
      </c>
      <c r="O266" s="66"/>
      <c r="P266" s="66"/>
      <c r="Q266" s="99">
        <v>5800</v>
      </c>
      <c r="R266" s="99">
        <v>5800</v>
      </c>
      <c r="S266" s="66"/>
      <c r="T266" s="66"/>
    </row>
    <row r="267" spans="1:20" ht="73.5" x14ac:dyDescent="0.2">
      <c r="A267" s="63" t="s">
        <v>570</v>
      </c>
      <c r="B267" s="63" t="s">
        <v>573</v>
      </c>
      <c r="C267" s="63" t="s">
        <v>834</v>
      </c>
      <c r="D267" s="63"/>
      <c r="E267" s="74" t="s">
        <v>835</v>
      </c>
      <c r="F267" s="66">
        <f t="shared" ref="F267:H268" si="84">F268</f>
        <v>230000</v>
      </c>
      <c r="G267" s="66">
        <f t="shared" si="74"/>
        <v>0</v>
      </c>
      <c r="H267" s="99">
        <f t="shared" si="84"/>
        <v>230000</v>
      </c>
      <c r="J267" s="63" t="s">
        <v>570</v>
      </c>
      <c r="K267" s="63" t="s">
        <v>573</v>
      </c>
      <c r="L267" s="63" t="s">
        <v>834</v>
      </c>
      <c r="M267" s="63"/>
      <c r="N267" s="74" t="s">
        <v>835</v>
      </c>
      <c r="O267" s="66">
        <f t="shared" ref="O267:T268" si="85">O268</f>
        <v>230000</v>
      </c>
      <c r="P267" s="66">
        <f t="shared" si="75"/>
        <v>0</v>
      </c>
      <c r="Q267" s="99">
        <f t="shared" si="85"/>
        <v>230000</v>
      </c>
      <c r="R267" s="99">
        <f t="shared" si="85"/>
        <v>230000</v>
      </c>
      <c r="S267" s="66">
        <f t="shared" si="81"/>
        <v>-230000</v>
      </c>
      <c r="T267" s="66">
        <f t="shared" si="85"/>
        <v>0</v>
      </c>
    </row>
    <row r="268" spans="1:20" ht="115.5" x14ac:dyDescent="0.2">
      <c r="A268" s="63" t="s">
        <v>570</v>
      </c>
      <c r="B268" s="63" t="s">
        <v>573</v>
      </c>
      <c r="C268" s="63" t="s">
        <v>731</v>
      </c>
      <c r="D268" s="63"/>
      <c r="E268" s="74" t="s">
        <v>732</v>
      </c>
      <c r="F268" s="66">
        <f t="shared" si="84"/>
        <v>230000</v>
      </c>
      <c r="G268" s="66">
        <f t="shared" si="74"/>
        <v>0</v>
      </c>
      <c r="H268" s="99">
        <f>H269+H270</f>
        <v>230000</v>
      </c>
      <c r="J268" s="63" t="s">
        <v>570</v>
      </c>
      <c r="K268" s="63" t="s">
        <v>573</v>
      </c>
      <c r="L268" s="63" t="s">
        <v>731</v>
      </c>
      <c r="M268" s="63"/>
      <c r="N268" s="74" t="s">
        <v>732</v>
      </c>
      <c r="O268" s="66">
        <f t="shared" si="85"/>
        <v>230000</v>
      </c>
      <c r="P268" s="66">
        <f t="shared" si="75"/>
        <v>0</v>
      </c>
      <c r="Q268" s="99">
        <f>Q269+Q270</f>
        <v>230000</v>
      </c>
      <c r="R268" s="99">
        <f>R269+R270</f>
        <v>230000</v>
      </c>
      <c r="S268" s="66">
        <f t="shared" si="81"/>
        <v>-230000</v>
      </c>
      <c r="T268" s="66">
        <f t="shared" si="85"/>
        <v>0</v>
      </c>
    </row>
    <row r="269" spans="1:20" ht="63" x14ac:dyDescent="0.2">
      <c r="A269" s="63" t="s">
        <v>570</v>
      </c>
      <c r="B269" s="63" t="s">
        <v>573</v>
      </c>
      <c r="C269" s="63" t="s">
        <v>731</v>
      </c>
      <c r="D269" s="63" t="s">
        <v>429</v>
      </c>
      <c r="E269" s="74" t="s">
        <v>437</v>
      </c>
      <c r="F269" s="66">
        <v>230000</v>
      </c>
      <c r="G269" s="66">
        <f t="shared" si="74"/>
        <v>-230000</v>
      </c>
      <c r="H269" s="99">
        <v>0</v>
      </c>
      <c r="J269" s="63" t="s">
        <v>570</v>
      </c>
      <c r="K269" s="63" t="s">
        <v>573</v>
      </c>
      <c r="L269" s="63" t="s">
        <v>731</v>
      </c>
      <c r="M269" s="63" t="s">
        <v>429</v>
      </c>
      <c r="N269" s="74" t="s">
        <v>437</v>
      </c>
      <c r="O269" s="66">
        <v>230000</v>
      </c>
      <c r="P269" s="66">
        <f t="shared" si="75"/>
        <v>-230000</v>
      </c>
      <c r="Q269" s="99">
        <v>0</v>
      </c>
      <c r="R269" s="99"/>
      <c r="S269" s="66">
        <f t="shared" si="81"/>
        <v>0</v>
      </c>
      <c r="T269" s="66"/>
    </row>
    <row r="270" spans="1:20" ht="33" customHeight="1" x14ac:dyDescent="0.2">
      <c r="A270" s="63" t="s">
        <v>570</v>
      </c>
      <c r="B270" s="63" t="s">
        <v>573</v>
      </c>
      <c r="C270" s="63" t="s">
        <v>731</v>
      </c>
      <c r="D270" s="63" t="s">
        <v>990</v>
      </c>
      <c r="E270" s="74" t="s">
        <v>991</v>
      </c>
      <c r="F270" s="66"/>
      <c r="G270" s="66"/>
      <c r="H270" s="99">
        <v>230000</v>
      </c>
      <c r="J270" s="63" t="s">
        <v>570</v>
      </c>
      <c r="K270" s="63" t="s">
        <v>573</v>
      </c>
      <c r="L270" s="63" t="s">
        <v>731</v>
      </c>
      <c r="M270" s="63" t="s">
        <v>990</v>
      </c>
      <c r="N270" s="74" t="s">
        <v>991</v>
      </c>
      <c r="O270" s="66"/>
      <c r="P270" s="66"/>
      <c r="Q270" s="99">
        <v>230000</v>
      </c>
      <c r="R270" s="99">
        <v>230000</v>
      </c>
      <c r="S270" s="66"/>
      <c r="T270" s="66"/>
    </row>
    <row r="271" spans="1:20" ht="105" x14ac:dyDescent="0.2">
      <c r="A271" s="66" t="s">
        <v>570</v>
      </c>
      <c r="B271" s="66" t="s">
        <v>573</v>
      </c>
      <c r="C271" s="63" t="s">
        <v>836</v>
      </c>
      <c r="D271" s="63"/>
      <c r="E271" s="74" t="s">
        <v>837</v>
      </c>
      <c r="F271" s="66">
        <f t="shared" ref="F271:H272" si="86">F272</f>
        <v>5000</v>
      </c>
      <c r="G271" s="66">
        <f t="shared" si="74"/>
        <v>-5000</v>
      </c>
      <c r="H271" s="99">
        <f t="shared" si="86"/>
        <v>0</v>
      </c>
      <c r="J271" s="66" t="s">
        <v>570</v>
      </c>
      <c r="K271" s="66" t="s">
        <v>573</v>
      </c>
      <c r="L271" s="63" t="s">
        <v>836</v>
      </c>
      <c r="M271" s="63"/>
      <c r="N271" s="74" t="s">
        <v>837</v>
      </c>
      <c r="O271" s="66">
        <f t="shared" ref="O271:T272" si="87">O272</f>
        <v>5000</v>
      </c>
      <c r="P271" s="66">
        <f t="shared" si="75"/>
        <v>-5000</v>
      </c>
      <c r="Q271" s="99">
        <f t="shared" si="87"/>
        <v>0</v>
      </c>
      <c r="R271" s="99">
        <f t="shared" si="87"/>
        <v>0</v>
      </c>
      <c r="S271" s="66">
        <f t="shared" si="81"/>
        <v>0</v>
      </c>
      <c r="T271" s="66">
        <f t="shared" si="87"/>
        <v>0</v>
      </c>
    </row>
    <row r="272" spans="1:20" ht="105" x14ac:dyDescent="0.2">
      <c r="A272" s="66" t="s">
        <v>570</v>
      </c>
      <c r="B272" s="66" t="s">
        <v>573</v>
      </c>
      <c r="C272" s="66" t="s">
        <v>733</v>
      </c>
      <c r="D272" s="66"/>
      <c r="E272" s="74" t="s">
        <v>838</v>
      </c>
      <c r="F272" s="66">
        <f t="shared" si="86"/>
        <v>5000</v>
      </c>
      <c r="G272" s="66">
        <f t="shared" si="74"/>
        <v>-5000</v>
      </c>
      <c r="H272" s="99">
        <f t="shared" si="86"/>
        <v>0</v>
      </c>
      <c r="J272" s="66" t="s">
        <v>570</v>
      </c>
      <c r="K272" s="66" t="s">
        <v>573</v>
      </c>
      <c r="L272" s="66" t="s">
        <v>733</v>
      </c>
      <c r="M272" s="66"/>
      <c r="N272" s="74" t="s">
        <v>838</v>
      </c>
      <c r="O272" s="66">
        <f t="shared" si="87"/>
        <v>5000</v>
      </c>
      <c r="P272" s="66">
        <f t="shared" si="75"/>
        <v>-5000</v>
      </c>
      <c r="Q272" s="99">
        <f t="shared" si="87"/>
        <v>0</v>
      </c>
      <c r="R272" s="99">
        <f t="shared" si="87"/>
        <v>0</v>
      </c>
      <c r="S272" s="66">
        <f t="shared" si="81"/>
        <v>0</v>
      </c>
      <c r="T272" s="66">
        <f t="shared" si="87"/>
        <v>0</v>
      </c>
    </row>
    <row r="273" spans="1:20" ht="63" x14ac:dyDescent="0.2">
      <c r="A273" s="66" t="s">
        <v>570</v>
      </c>
      <c r="B273" s="66" t="s">
        <v>573</v>
      </c>
      <c r="C273" s="66" t="s">
        <v>733</v>
      </c>
      <c r="D273" s="66" t="s">
        <v>429</v>
      </c>
      <c r="E273" s="74" t="s">
        <v>437</v>
      </c>
      <c r="F273" s="66">
        <v>5000</v>
      </c>
      <c r="G273" s="66">
        <f t="shared" si="74"/>
        <v>-5000</v>
      </c>
      <c r="H273" s="99">
        <v>0</v>
      </c>
      <c r="J273" s="66" t="s">
        <v>570</v>
      </c>
      <c r="K273" s="66" t="s">
        <v>573</v>
      </c>
      <c r="L273" s="66" t="s">
        <v>733</v>
      </c>
      <c r="M273" s="66" t="s">
        <v>429</v>
      </c>
      <c r="N273" s="74" t="s">
        <v>437</v>
      </c>
      <c r="O273" s="66">
        <v>5000</v>
      </c>
      <c r="P273" s="66">
        <f t="shared" si="75"/>
        <v>-5000</v>
      </c>
      <c r="Q273" s="99">
        <v>0</v>
      </c>
      <c r="R273" s="99"/>
      <c r="S273" s="66">
        <f t="shared" si="81"/>
        <v>0</v>
      </c>
      <c r="T273" s="66"/>
    </row>
    <row r="274" spans="1:20" ht="63" x14ac:dyDescent="0.2">
      <c r="A274" s="66" t="s">
        <v>570</v>
      </c>
      <c r="B274" s="66" t="s">
        <v>573</v>
      </c>
      <c r="C274" s="76" t="s">
        <v>839</v>
      </c>
      <c r="D274" s="66"/>
      <c r="E274" s="74" t="s">
        <v>840</v>
      </c>
      <c r="F274" s="66">
        <f>F275+F277</f>
        <v>5095000</v>
      </c>
      <c r="G274" s="66">
        <f t="shared" si="74"/>
        <v>1573000</v>
      </c>
      <c r="H274" s="99">
        <f>H275+H277</f>
        <v>6668000</v>
      </c>
      <c r="J274" s="66" t="s">
        <v>570</v>
      </c>
      <c r="K274" s="66" t="s">
        <v>573</v>
      </c>
      <c r="L274" s="76" t="s">
        <v>839</v>
      </c>
      <c r="M274" s="66"/>
      <c r="N274" s="74" t="s">
        <v>840</v>
      </c>
      <c r="O274" s="66">
        <f t="shared" ref="O274:T274" si="88">O275+O277</f>
        <v>4595000</v>
      </c>
      <c r="P274" s="66">
        <f t="shared" si="75"/>
        <v>2073000</v>
      </c>
      <c r="Q274" s="99">
        <f t="shared" si="88"/>
        <v>6668000</v>
      </c>
      <c r="R274" s="99">
        <f t="shared" si="88"/>
        <v>6668000</v>
      </c>
      <c r="S274" s="66">
        <f t="shared" si="81"/>
        <v>-6668000</v>
      </c>
      <c r="T274" s="66">
        <f t="shared" si="88"/>
        <v>0</v>
      </c>
    </row>
    <row r="275" spans="1:20" ht="126" x14ac:dyDescent="0.2">
      <c r="A275" s="66" t="s">
        <v>570</v>
      </c>
      <c r="B275" s="66" t="s">
        <v>573</v>
      </c>
      <c r="C275" s="66" t="s">
        <v>841</v>
      </c>
      <c r="D275" s="66"/>
      <c r="E275" s="74" t="s">
        <v>734</v>
      </c>
      <c r="F275" s="66">
        <f>F276</f>
        <v>532000</v>
      </c>
      <c r="G275" s="66">
        <f t="shared" si="74"/>
        <v>73000</v>
      </c>
      <c r="H275" s="99">
        <f>H276</f>
        <v>605000</v>
      </c>
      <c r="J275" s="66" t="s">
        <v>570</v>
      </c>
      <c r="K275" s="66" t="s">
        <v>573</v>
      </c>
      <c r="L275" s="66" t="s">
        <v>841</v>
      </c>
      <c r="M275" s="66"/>
      <c r="N275" s="74" t="s">
        <v>734</v>
      </c>
      <c r="O275" s="66">
        <f t="shared" ref="O275:T275" si="89">O276</f>
        <v>532000</v>
      </c>
      <c r="P275" s="66">
        <f t="shared" si="75"/>
        <v>73000</v>
      </c>
      <c r="Q275" s="99">
        <f t="shared" si="89"/>
        <v>605000</v>
      </c>
      <c r="R275" s="99">
        <f t="shared" si="89"/>
        <v>605000</v>
      </c>
      <c r="S275" s="66">
        <f t="shared" si="81"/>
        <v>-605000</v>
      </c>
      <c r="T275" s="66">
        <f t="shared" si="89"/>
        <v>0</v>
      </c>
    </row>
    <row r="276" spans="1:20" ht="63" x14ac:dyDescent="0.2">
      <c r="A276" s="66" t="s">
        <v>570</v>
      </c>
      <c r="B276" s="66" t="s">
        <v>573</v>
      </c>
      <c r="C276" s="66" t="s">
        <v>841</v>
      </c>
      <c r="D276" s="66" t="s">
        <v>429</v>
      </c>
      <c r="E276" s="74" t="s">
        <v>437</v>
      </c>
      <c r="F276" s="66">
        <f>382000+150000</f>
        <v>532000</v>
      </c>
      <c r="G276" s="66">
        <f t="shared" si="74"/>
        <v>73000</v>
      </c>
      <c r="H276" s="99">
        <v>605000</v>
      </c>
      <c r="J276" s="66" t="s">
        <v>570</v>
      </c>
      <c r="K276" s="66" t="s">
        <v>573</v>
      </c>
      <c r="L276" s="66" t="s">
        <v>841</v>
      </c>
      <c r="M276" s="66" t="s">
        <v>429</v>
      </c>
      <c r="N276" s="74" t="s">
        <v>437</v>
      </c>
      <c r="O276" s="66">
        <f>382000+150000</f>
        <v>532000</v>
      </c>
      <c r="P276" s="66">
        <f t="shared" si="75"/>
        <v>73000</v>
      </c>
      <c r="Q276" s="99">
        <v>605000</v>
      </c>
      <c r="R276" s="99">
        <v>605000</v>
      </c>
      <c r="S276" s="66">
        <f t="shared" si="81"/>
        <v>-605000</v>
      </c>
      <c r="T276" s="66"/>
    </row>
    <row r="277" spans="1:20" ht="94.5" x14ac:dyDescent="0.2">
      <c r="A277" s="66" t="s">
        <v>570</v>
      </c>
      <c r="B277" s="66" t="s">
        <v>573</v>
      </c>
      <c r="C277" s="66" t="s">
        <v>842</v>
      </c>
      <c r="D277" s="66"/>
      <c r="E277" s="74" t="s">
        <v>735</v>
      </c>
      <c r="F277" s="66">
        <f>F278</f>
        <v>4563000</v>
      </c>
      <c r="G277" s="66">
        <f t="shared" si="74"/>
        <v>1500000</v>
      </c>
      <c r="H277" s="99">
        <f>H278</f>
        <v>6063000</v>
      </c>
      <c r="J277" s="66" t="s">
        <v>570</v>
      </c>
      <c r="K277" s="66" t="s">
        <v>573</v>
      </c>
      <c r="L277" s="66" t="s">
        <v>842</v>
      </c>
      <c r="M277" s="66"/>
      <c r="N277" s="74" t="s">
        <v>735</v>
      </c>
      <c r="O277" s="66">
        <f t="shared" ref="O277:T277" si="90">O278</f>
        <v>4063000</v>
      </c>
      <c r="P277" s="66">
        <f t="shared" si="75"/>
        <v>2000000</v>
      </c>
      <c r="Q277" s="99">
        <f t="shared" si="90"/>
        <v>6063000</v>
      </c>
      <c r="R277" s="99">
        <f t="shared" si="90"/>
        <v>6063000</v>
      </c>
      <c r="S277" s="66">
        <f t="shared" si="81"/>
        <v>-6063000</v>
      </c>
      <c r="T277" s="66">
        <f t="shared" si="90"/>
        <v>0</v>
      </c>
    </row>
    <row r="278" spans="1:20" ht="63" x14ac:dyDescent="0.2">
      <c r="A278" s="66" t="s">
        <v>570</v>
      </c>
      <c r="B278" s="66" t="s">
        <v>573</v>
      </c>
      <c r="C278" s="66" t="s">
        <v>842</v>
      </c>
      <c r="D278" s="66" t="s">
        <v>429</v>
      </c>
      <c r="E278" s="74" t="s">
        <v>437</v>
      </c>
      <c r="F278" s="66">
        <f>6063000-1500000</f>
        <v>4563000</v>
      </c>
      <c r="G278" s="66">
        <f t="shared" si="74"/>
        <v>1500000</v>
      </c>
      <c r="H278" s="99">
        <v>6063000</v>
      </c>
      <c r="J278" s="66" t="s">
        <v>570</v>
      </c>
      <c r="K278" s="66" t="s">
        <v>573</v>
      </c>
      <c r="L278" s="66" t="s">
        <v>842</v>
      </c>
      <c r="M278" s="66" t="s">
        <v>429</v>
      </c>
      <c r="N278" s="74" t="s">
        <v>437</v>
      </c>
      <c r="O278" s="66">
        <f>6063000-2000000</f>
        <v>4063000</v>
      </c>
      <c r="P278" s="66">
        <f t="shared" si="75"/>
        <v>2000000</v>
      </c>
      <c r="Q278" s="99">
        <v>6063000</v>
      </c>
      <c r="R278" s="99">
        <v>6063000</v>
      </c>
      <c r="S278" s="66">
        <f t="shared" si="81"/>
        <v>-6063000</v>
      </c>
      <c r="T278" s="66"/>
    </row>
    <row r="279" spans="1:20" ht="115.5" x14ac:dyDescent="0.2">
      <c r="A279" s="66" t="s">
        <v>570</v>
      </c>
      <c r="B279" s="66" t="s">
        <v>573</v>
      </c>
      <c r="C279" s="76" t="s">
        <v>843</v>
      </c>
      <c r="D279" s="66"/>
      <c r="E279" s="74" t="s">
        <v>844</v>
      </c>
      <c r="F279" s="66">
        <f>F280</f>
        <v>0</v>
      </c>
      <c r="G279" s="66">
        <f t="shared" si="74"/>
        <v>342000</v>
      </c>
      <c r="H279" s="99">
        <f>H280</f>
        <v>342000</v>
      </c>
      <c r="J279" s="66" t="s">
        <v>570</v>
      </c>
      <c r="K279" s="66" t="s">
        <v>573</v>
      </c>
      <c r="L279" s="76" t="s">
        <v>843</v>
      </c>
      <c r="M279" s="66"/>
      <c r="N279" s="74" t="s">
        <v>844</v>
      </c>
      <c r="O279" s="66">
        <f t="shared" ref="O279:T279" si="91">O280</f>
        <v>0</v>
      </c>
      <c r="P279" s="66">
        <f t="shared" si="75"/>
        <v>0</v>
      </c>
      <c r="Q279" s="99">
        <f t="shared" si="91"/>
        <v>0</v>
      </c>
      <c r="R279" s="99">
        <f t="shared" si="91"/>
        <v>0</v>
      </c>
      <c r="S279" s="66">
        <f t="shared" si="81"/>
        <v>0</v>
      </c>
      <c r="T279" s="66">
        <f t="shared" si="91"/>
        <v>0</v>
      </c>
    </row>
    <row r="280" spans="1:20" ht="105" x14ac:dyDescent="0.2">
      <c r="A280" s="66" t="s">
        <v>570</v>
      </c>
      <c r="B280" s="66" t="s">
        <v>573</v>
      </c>
      <c r="C280" s="66" t="s">
        <v>766</v>
      </c>
      <c r="D280" s="66"/>
      <c r="E280" s="74" t="s">
        <v>845</v>
      </c>
      <c r="F280" s="66">
        <f>F281</f>
        <v>0</v>
      </c>
      <c r="G280" s="66">
        <f t="shared" si="74"/>
        <v>342000</v>
      </c>
      <c r="H280" s="99">
        <f>H281</f>
        <v>342000</v>
      </c>
      <c r="J280" s="66" t="s">
        <v>570</v>
      </c>
      <c r="K280" s="66" t="s">
        <v>573</v>
      </c>
      <c r="L280" s="66" t="s">
        <v>766</v>
      </c>
      <c r="M280" s="66"/>
      <c r="N280" s="74" t="s">
        <v>845</v>
      </c>
      <c r="O280" s="66">
        <f>O281</f>
        <v>0</v>
      </c>
      <c r="P280" s="66">
        <f t="shared" si="75"/>
        <v>0</v>
      </c>
      <c r="Q280" s="99">
        <f>Q281</f>
        <v>0</v>
      </c>
      <c r="R280" s="99">
        <f>R281</f>
        <v>0</v>
      </c>
      <c r="S280" s="66">
        <f t="shared" si="81"/>
        <v>0</v>
      </c>
      <c r="T280" s="66">
        <f>T281</f>
        <v>0</v>
      </c>
    </row>
    <row r="281" spans="1:20" ht="63" x14ac:dyDescent="0.2">
      <c r="A281" s="66" t="s">
        <v>570</v>
      </c>
      <c r="B281" s="66" t="s">
        <v>573</v>
      </c>
      <c r="C281" s="66" t="s">
        <v>766</v>
      </c>
      <c r="D281" s="66" t="s">
        <v>429</v>
      </c>
      <c r="E281" s="74" t="s">
        <v>437</v>
      </c>
      <c r="F281" s="66">
        <v>0</v>
      </c>
      <c r="G281" s="66">
        <f t="shared" si="74"/>
        <v>342000</v>
      </c>
      <c r="H281" s="99">
        <v>342000</v>
      </c>
      <c r="J281" s="66" t="s">
        <v>570</v>
      </c>
      <c r="K281" s="66" t="s">
        <v>573</v>
      </c>
      <c r="L281" s="66" t="s">
        <v>766</v>
      </c>
      <c r="M281" s="66" t="s">
        <v>429</v>
      </c>
      <c r="N281" s="74" t="s">
        <v>437</v>
      </c>
      <c r="O281" s="66">
        <v>0</v>
      </c>
      <c r="P281" s="66">
        <f t="shared" si="75"/>
        <v>0</v>
      </c>
      <c r="Q281" s="99">
        <v>0</v>
      </c>
      <c r="R281" s="99">
        <v>0</v>
      </c>
      <c r="S281" s="66">
        <f t="shared" si="81"/>
        <v>0</v>
      </c>
      <c r="T281" s="66">
        <v>0</v>
      </c>
    </row>
    <row r="282" spans="1:20" ht="21" x14ac:dyDescent="0.2">
      <c r="A282" s="77" t="s">
        <v>570</v>
      </c>
      <c r="B282" s="64" t="s">
        <v>637</v>
      </c>
      <c r="C282" s="64"/>
      <c r="D282" s="63"/>
      <c r="E282" s="74" t="s">
        <v>419</v>
      </c>
      <c r="F282" s="66" t="e">
        <f>#REF!+F284+F294+F299</f>
        <v>#REF!</v>
      </c>
      <c r="G282" s="66" t="e">
        <f t="shared" si="74"/>
        <v>#REF!</v>
      </c>
      <c r="H282" s="99">
        <f>H284+H294+H299+H291</f>
        <v>3839940</v>
      </c>
      <c r="J282" s="77" t="s">
        <v>570</v>
      </c>
      <c r="K282" s="64" t="s">
        <v>637</v>
      </c>
      <c r="L282" s="64"/>
      <c r="M282" s="63"/>
      <c r="N282" s="74" t="s">
        <v>419</v>
      </c>
      <c r="O282" s="66" t="e">
        <f>#REF!+#REF!+O284+O294+O299+#REF!+#REF!</f>
        <v>#REF!</v>
      </c>
      <c r="P282" s="66" t="e">
        <f t="shared" si="75"/>
        <v>#REF!</v>
      </c>
      <c r="Q282" s="99">
        <f>Q284+Q294+Q299+Q291</f>
        <v>3752840</v>
      </c>
      <c r="R282" s="99">
        <f>R284+R294+R299+R291</f>
        <v>3684240</v>
      </c>
      <c r="S282" s="66" t="e">
        <f t="shared" si="81"/>
        <v>#REF!</v>
      </c>
      <c r="T282" s="66" t="e">
        <f>#REF!+#REF!+T284+T294+T299+#REF!+#REF!</f>
        <v>#REF!</v>
      </c>
    </row>
    <row r="283" spans="1:20" ht="73.5" x14ac:dyDescent="0.2">
      <c r="A283" s="77" t="s">
        <v>570</v>
      </c>
      <c r="B283" s="64" t="s">
        <v>637</v>
      </c>
      <c r="C283" s="64" t="s">
        <v>846</v>
      </c>
      <c r="D283" s="63"/>
      <c r="E283" s="74" t="s">
        <v>847</v>
      </c>
      <c r="F283" s="65" t="e">
        <f>#REF!+F284</f>
        <v>#REF!</v>
      </c>
      <c r="G283" s="66" t="e">
        <f t="shared" si="74"/>
        <v>#REF!</v>
      </c>
      <c r="H283" s="100">
        <f>H291+H284</f>
        <v>3839940</v>
      </c>
      <c r="J283" s="77" t="s">
        <v>570</v>
      </c>
      <c r="K283" s="64" t="s">
        <v>637</v>
      </c>
      <c r="L283" s="64" t="s">
        <v>846</v>
      </c>
      <c r="M283" s="63"/>
      <c r="N283" s="74" t="s">
        <v>847</v>
      </c>
      <c r="O283" s="65" t="e">
        <f>#REF!+O284</f>
        <v>#REF!</v>
      </c>
      <c r="P283" s="66" t="e">
        <f t="shared" si="75"/>
        <v>#REF!</v>
      </c>
      <c r="Q283" s="100">
        <f>Q291+Q284</f>
        <v>3752840</v>
      </c>
      <c r="R283" s="100">
        <f>R291+R284</f>
        <v>3684240</v>
      </c>
      <c r="S283" s="66" t="e">
        <f t="shared" si="81"/>
        <v>#REF!</v>
      </c>
      <c r="T283" s="65" t="e">
        <f>#REF!+T284</f>
        <v>#REF!</v>
      </c>
    </row>
    <row r="284" spans="1:20" ht="94.5" x14ac:dyDescent="0.2">
      <c r="A284" s="77" t="s">
        <v>570</v>
      </c>
      <c r="B284" s="64" t="s">
        <v>637</v>
      </c>
      <c r="C284" s="64" t="s">
        <v>737</v>
      </c>
      <c r="D284" s="63"/>
      <c r="E284" s="74" t="s">
        <v>738</v>
      </c>
      <c r="F284" s="65">
        <f>F285+F286+F287+F288+F289+F290</f>
        <v>2328300</v>
      </c>
      <c r="G284" s="66">
        <f t="shared" si="74"/>
        <v>608040</v>
      </c>
      <c r="H284" s="100">
        <f>H285+H286+H287+H288+H289+H290</f>
        <v>2936340</v>
      </c>
      <c r="J284" s="77" t="s">
        <v>570</v>
      </c>
      <c r="K284" s="64" t="s">
        <v>637</v>
      </c>
      <c r="L284" s="64" t="s">
        <v>737</v>
      </c>
      <c r="M284" s="63"/>
      <c r="N284" s="74" t="s">
        <v>738</v>
      </c>
      <c r="O284" s="65">
        <f t="shared" ref="O284:T284" si="92">O285+O286+O287+O288+O289+O290</f>
        <v>2328300</v>
      </c>
      <c r="P284" s="66">
        <f t="shared" si="75"/>
        <v>586040</v>
      </c>
      <c r="Q284" s="100">
        <f t="shared" si="92"/>
        <v>2914340</v>
      </c>
      <c r="R284" s="100">
        <f t="shared" si="92"/>
        <v>2845740</v>
      </c>
      <c r="S284" s="66">
        <f t="shared" si="81"/>
        <v>-2845740</v>
      </c>
      <c r="T284" s="65">
        <f t="shared" si="92"/>
        <v>0</v>
      </c>
    </row>
    <row r="285" spans="1:20" ht="21" x14ac:dyDescent="0.2">
      <c r="A285" s="77" t="s">
        <v>570</v>
      </c>
      <c r="B285" s="64" t="s">
        <v>637</v>
      </c>
      <c r="C285" s="64" t="s">
        <v>737</v>
      </c>
      <c r="D285" s="63" t="s">
        <v>424</v>
      </c>
      <c r="E285" s="74" t="s">
        <v>431</v>
      </c>
      <c r="F285" s="65">
        <f>1770900+534400</f>
        <v>2305300</v>
      </c>
      <c r="G285" s="66">
        <f t="shared" si="74"/>
        <v>132240</v>
      </c>
      <c r="H285" s="100">
        <f>1872150+565390</f>
        <v>2437540</v>
      </c>
      <c r="J285" s="77" t="s">
        <v>570</v>
      </c>
      <c r="K285" s="64" t="s">
        <v>637</v>
      </c>
      <c r="L285" s="64" t="s">
        <v>737</v>
      </c>
      <c r="M285" s="63" t="s">
        <v>424</v>
      </c>
      <c r="N285" s="74" t="s">
        <v>431</v>
      </c>
      <c r="O285" s="65">
        <f>1770900+534400</f>
        <v>2305300</v>
      </c>
      <c r="P285" s="66">
        <f t="shared" si="75"/>
        <v>132240</v>
      </c>
      <c r="Q285" s="100">
        <f>1872150+565390</f>
        <v>2437540</v>
      </c>
      <c r="R285" s="100">
        <f>1872150+565390</f>
        <v>2437540</v>
      </c>
      <c r="S285" s="66">
        <f t="shared" si="81"/>
        <v>-2437540</v>
      </c>
      <c r="T285" s="65"/>
    </row>
    <row r="286" spans="1:20" ht="31.5" x14ac:dyDescent="0.2">
      <c r="A286" s="77" t="s">
        <v>570</v>
      </c>
      <c r="B286" s="64" t="s">
        <v>637</v>
      </c>
      <c r="C286" s="64" t="s">
        <v>737</v>
      </c>
      <c r="D286" s="63" t="s">
        <v>425</v>
      </c>
      <c r="E286" s="74" t="s">
        <v>432</v>
      </c>
      <c r="F286" s="65">
        <v>0</v>
      </c>
      <c r="G286" s="66">
        <f t="shared" si="74"/>
        <v>23000</v>
      </c>
      <c r="H286" s="100">
        <f>3000+20000</f>
        <v>23000</v>
      </c>
      <c r="J286" s="77" t="s">
        <v>570</v>
      </c>
      <c r="K286" s="64" t="s">
        <v>637</v>
      </c>
      <c r="L286" s="64" t="s">
        <v>737</v>
      </c>
      <c r="M286" s="63" t="s">
        <v>425</v>
      </c>
      <c r="N286" s="74" t="s">
        <v>432</v>
      </c>
      <c r="O286" s="65">
        <v>0</v>
      </c>
      <c r="P286" s="66">
        <f t="shared" si="75"/>
        <v>23000</v>
      </c>
      <c r="Q286" s="100">
        <f>3000+20000</f>
        <v>23000</v>
      </c>
      <c r="R286" s="100">
        <v>0</v>
      </c>
      <c r="S286" s="66">
        <f t="shared" si="81"/>
        <v>0</v>
      </c>
      <c r="T286" s="65">
        <v>0</v>
      </c>
    </row>
    <row r="287" spans="1:20" ht="31.5" x14ac:dyDescent="0.2">
      <c r="A287" s="77" t="s">
        <v>570</v>
      </c>
      <c r="B287" s="64" t="s">
        <v>637</v>
      </c>
      <c r="C287" s="64" t="s">
        <v>737</v>
      </c>
      <c r="D287" s="63" t="s">
        <v>427</v>
      </c>
      <c r="E287" s="74" t="s">
        <v>433</v>
      </c>
      <c r="F287" s="65">
        <v>0</v>
      </c>
      <c r="G287" s="66">
        <f t="shared" si="74"/>
        <v>61650</v>
      </c>
      <c r="H287" s="100">
        <f>56650+5000</f>
        <v>61650</v>
      </c>
      <c r="J287" s="77" t="s">
        <v>570</v>
      </c>
      <c r="K287" s="64" t="s">
        <v>637</v>
      </c>
      <c r="L287" s="64" t="s">
        <v>737</v>
      </c>
      <c r="M287" s="63" t="s">
        <v>427</v>
      </c>
      <c r="N287" s="74" t="s">
        <v>433</v>
      </c>
      <c r="O287" s="65">
        <v>0</v>
      </c>
      <c r="P287" s="66">
        <f t="shared" si="75"/>
        <v>61650</v>
      </c>
      <c r="Q287" s="100">
        <f>56650+5000</f>
        <v>61650</v>
      </c>
      <c r="R287" s="100">
        <v>56650</v>
      </c>
      <c r="S287" s="66">
        <f t="shared" si="81"/>
        <v>-56650</v>
      </c>
      <c r="T287" s="65">
        <v>0</v>
      </c>
    </row>
    <row r="288" spans="1:20" ht="31.5" x14ac:dyDescent="0.2">
      <c r="A288" s="77" t="s">
        <v>570</v>
      </c>
      <c r="B288" s="64" t="s">
        <v>637</v>
      </c>
      <c r="C288" s="64" t="s">
        <v>737</v>
      </c>
      <c r="D288" s="63" t="s">
        <v>423</v>
      </c>
      <c r="E288" s="74" t="s">
        <v>434</v>
      </c>
      <c r="F288" s="65">
        <v>0</v>
      </c>
      <c r="G288" s="66">
        <f t="shared" si="74"/>
        <v>388600</v>
      </c>
      <c r="H288" s="100">
        <f>326000+8000+10000+44600</f>
        <v>388600</v>
      </c>
      <c r="J288" s="77" t="s">
        <v>570</v>
      </c>
      <c r="K288" s="64" t="s">
        <v>637</v>
      </c>
      <c r="L288" s="64" t="s">
        <v>737</v>
      </c>
      <c r="M288" s="63" t="s">
        <v>423</v>
      </c>
      <c r="N288" s="74" t="s">
        <v>434</v>
      </c>
      <c r="O288" s="65">
        <v>0</v>
      </c>
      <c r="P288" s="66">
        <f t="shared" si="75"/>
        <v>366600</v>
      </c>
      <c r="Q288" s="100">
        <f>326000+15000+25600</f>
        <v>366600</v>
      </c>
      <c r="R288" s="100">
        <v>326000</v>
      </c>
      <c r="S288" s="66">
        <f t="shared" si="81"/>
        <v>-326000</v>
      </c>
      <c r="T288" s="65">
        <v>0</v>
      </c>
    </row>
    <row r="289" spans="1:20" ht="31.5" x14ac:dyDescent="0.2">
      <c r="A289" s="77" t="s">
        <v>570</v>
      </c>
      <c r="B289" s="64" t="s">
        <v>637</v>
      </c>
      <c r="C289" s="64" t="s">
        <v>737</v>
      </c>
      <c r="D289" s="63" t="s">
        <v>330</v>
      </c>
      <c r="E289" s="74" t="s">
        <v>393</v>
      </c>
      <c r="F289" s="65">
        <v>8740</v>
      </c>
      <c r="G289" s="66">
        <f t="shared" si="74"/>
        <v>-5640</v>
      </c>
      <c r="H289" s="100">
        <v>3100</v>
      </c>
      <c r="J289" s="77" t="s">
        <v>570</v>
      </c>
      <c r="K289" s="64" t="s">
        <v>637</v>
      </c>
      <c r="L289" s="64" t="s">
        <v>737</v>
      </c>
      <c r="M289" s="63" t="s">
        <v>330</v>
      </c>
      <c r="N289" s="74" t="s">
        <v>393</v>
      </c>
      <c r="O289" s="65">
        <v>8740</v>
      </c>
      <c r="P289" s="66">
        <f t="shared" si="75"/>
        <v>-5640</v>
      </c>
      <c r="Q289" s="100">
        <v>3100</v>
      </c>
      <c r="R289" s="100">
        <v>3100</v>
      </c>
      <c r="S289" s="66">
        <f t="shared" si="81"/>
        <v>-3100</v>
      </c>
      <c r="T289" s="65"/>
    </row>
    <row r="290" spans="1:20" x14ac:dyDescent="0.2">
      <c r="A290" s="77" t="s">
        <v>570</v>
      </c>
      <c r="B290" s="64" t="s">
        <v>637</v>
      </c>
      <c r="C290" s="64" t="s">
        <v>737</v>
      </c>
      <c r="D290" s="63" t="s">
        <v>249</v>
      </c>
      <c r="E290" s="74" t="s">
        <v>954</v>
      </c>
      <c r="F290" s="65">
        <v>14260</v>
      </c>
      <c r="G290" s="66">
        <f t="shared" si="74"/>
        <v>8190</v>
      </c>
      <c r="H290" s="100">
        <v>22450</v>
      </c>
      <c r="J290" s="77" t="s">
        <v>570</v>
      </c>
      <c r="K290" s="64" t="s">
        <v>637</v>
      </c>
      <c r="L290" s="64" t="s">
        <v>737</v>
      </c>
      <c r="M290" s="63" t="s">
        <v>249</v>
      </c>
      <c r="N290" s="74" t="s">
        <v>954</v>
      </c>
      <c r="O290" s="65">
        <v>14260</v>
      </c>
      <c r="P290" s="66">
        <f t="shared" si="75"/>
        <v>8190</v>
      </c>
      <c r="Q290" s="100">
        <v>22450</v>
      </c>
      <c r="R290" s="100">
        <v>22450</v>
      </c>
      <c r="S290" s="66">
        <f t="shared" si="81"/>
        <v>-22450</v>
      </c>
      <c r="T290" s="65"/>
    </row>
    <row r="291" spans="1:20" ht="84" x14ac:dyDescent="0.2">
      <c r="A291" s="77" t="s">
        <v>570</v>
      </c>
      <c r="B291" s="64" t="s">
        <v>637</v>
      </c>
      <c r="C291" s="64" t="s">
        <v>917</v>
      </c>
      <c r="D291" s="63"/>
      <c r="E291" s="74" t="s">
        <v>736</v>
      </c>
      <c r="F291" s="65">
        <f>F292</f>
        <v>837840</v>
      </c>
      <c r="G291" s="66">
        <f t="shared" si="74"/>
        <v>65760</v>
      </c>
      <c r="H291" s="100">
        <f>H292</f>
        <v>903600</v>
      </c>
      <c r="J291" s="77" t="s">
        <v>570</v>
      </c>
      <c r="K291" s="64" t="s">
        <v>637</v>
      </c>
      <c r="L291" s="64" t="s">
        <v>917</v>
      </c>
      <c r="M291" s="63"/>
      <c r="N291" s="74" t="s">
        <v>736</v>
      </c>
      <c r="O291" s="65">
        <f>O292</f>
        <v>837840</v>
      </c>
      <c r="P291" s="66">
        <f t="shared" si="75"/>
        <v>660</v>
      </c>
      <c r="Q291" s="100">
        <f>Q292</f>
        <v>838500</v>
      </c>
      <c r="R291" s="100">
        <f>R292</f>
        <v>838500</v>
      </c>
      <c r="S291" s="66"/>
      <c r="T291" s="65"/>
    </row>
    <row r="292" spans="1:20" ht="21" x14ac:dyDescent="0.2">
      <c r="A292" s="77" t="s">
        <v>570</v>
      </c>
      <c r="B292" s="64" t="s">
        <v>637</v>
      </c>
      <c r="C292" s="64" t="s">
        <v>917</v>
      </c>
      <c r="D292" s="63" t="s">
        <v>424</v>
      </c>
      <c r="E292" s="74" t="s">
        <v>431</v>
      </c>
      <c r="F292" s="65">
        <f>643500+194340</f>
        <v>837840</v>
      </c>
      <c r="G292" s="66">
        <f t="shared" si="74"/>
        <v>65760</v>
      </c>
      <c r="H292" s="100">
        <f>694000+209600</f>
        <v>903600</v>
      </c>
      <c r="J292" s="77" t="s">
        <v>570</v>
      </c>
      <c r="K292" s="64" t="s">
        <v>637</v>
      </c>
      <c r="L292" s="64" t="s">
        <v>917</v>
      </c>
      <c r="M292" s="63" t="s">
        <v>424</v>
      </c>
      <c r="N292" s="74" t="s">
        <v>431</v>
      </c>
      <c r="O292" s="65">
        <f>643500+194340</f>
        <v>837840</v>
      </c>
      <c r="P292" s="66">
        <f t="shared" si="75"/>
        <v>660</v>
      </c>
      <c r="Q292" s="100">
        <f>644000+194500</f>
        <v>838500</v>
      </c>
      <c r="R292" s="100">
        <f>644000+194500</f>
        <v>838500</v>
      </c>
      <c r="S292" s="66"/>
      <c r="T292" s="65"/>
    </row>
    <row r="293" spans="1:20" ht="73.5" x14ac:dyDescent="0.2">
      <c r="A293" s="77" t="s">
        <v>570</v>
      </c>
      <c r="B293" s="64" t="s">
        <v>637</v>
      </c>
      <c r="C293" s="64" t="s">
        <v>848</v>
      </c>
      <c r="D293" s="63"/>
      <c r="E293" s="74" t="s">
        <v>849</v>
      </c>
      <c r="F293" s="65">
        <f>F294</f>
        <v>82800</v>
      </c>
      <c r="G293" s="66">
        <f t="shared" si="74"/>
        <v>-82800</v>
      </c>
      <c r="H293" s="100">
        <f>H294</f>
        <v>0</v>
      </c>
      <c r="J293" s="77" t="s">
        <v>570</v>
      </c>
      <c r="K293" s="64" t="s">
        <v>637</v>
      </c>
      <c r="L293" s="64" t="s">
        <v>848</v>
      </c>
      <c r="M293" s="63"/>
      <c r="N293" s="74" t="s">
        <v>849</v>
      </c>
      <c r="O293" s="65">
        <f t="shared" ref="O293:T293" si="93">O294</f>
        <v>82800</v>
      </c>
      <c r="P293" s="66">
        <f t="shared" si="75"/>
        <v>-82800</v>
      </c>
      <c r="Q293" s="100">
        <f t="shared" si="93"/>
        <v>0</v>
      </c>
      <c r="R293" s="100">
        <f t="shared" si="93"/>
        <v>0</v>
      </c>
      <c r="S293" s="66">
        <f t="shared" si="81"/>
        <v>0</v>
      </c>
      <c r="T293" s="65">
        <f t="shared" si="93"/>
        <v>0</v>
      </c>
    </row>
    <row r="294" spans="1:20" ht="63" x14ac:dyDescent="0.2">
      <c r="A294" s="77" t="s">
        <v>570</v>
      </c>
      <c r="B294" s="64" t="s">
        <v>637</v>
      </c>
      <c r="C294" s="64" t="s">
        <v>850</v>
      </c>
      <c r="D294" s="63"/>
      <c r="E294" s="74" t="s">
        <v>851</v>
      </c>
      <c r="F294" s="65">
        <f>F295+F296+F297</f>
        <v>82800</v>
      </c>
      <c r="G294" s="66">
        <f t="shared" si="74"/>
        <v>-82800</v>
      </c>
      <c r="H294" s="100">
        <f>H295+H296+H297</f>
        <v>0</v>
      </c>
      <c r="J294" s="77" t="s">
        <v>570</v>
      </c>
      <c r="K294" s="64" t="s">
        <v>637</v>
      </c>
      <c r="L294" s="64" t="s">
        <v>850</v>
      </c>
      <c r="M294" s="63"/>
      <c r="N294" s="74" t="s">
        <v>851</v>
      </c>
      <c r="O294" s="65">
        <f t="shared" ref="O294:T294" si="94">O295+O296+O297</f>
        <v>82800</v>
      </c>
      <c r="P294" s="66">
        <f t="shared" si="75"/>
        <v>-82800</v>
      </c>
      <c r="Q294" s="100">
        <f t="shared" si="94"/>
        <v>0</v>
      </c>
      <c r="R294" s="100">
        <f t="shared" si="94"/>
        <v>0</v>
      </c>
      <c r="S294" s="66">
        <f t="shared" si="81"/>
        <v>0</v>
      </c>
      <c r="T294" s="65">
        <f t="shared" si="94"/>
        <v>0</v>
      </c>
    </row>
    <row r="295" spans="1:20" ht="21" x14ac:dyDescent="0.2">
      <c r="A295" s="77" t="s">
        <v>570</v>
      </c>
      <c r="B295" s="64" t="s">
        <v>637</v>
      </c>
      <c r="C295" s="64" t="s">
        <v>850</v>
      </c>
      <c r="D295" s="63" t="s">
        <v>424</v>
      </c>
      <c r="E295" s="74" t="s">
        <v>431</v>
      </c>
      <c r="F295" s="65">
        <f>63600+19200</f>
        <v>82800</v>
      </c>
      <c r="G295" s="66">
        <f t="shared" si="74"/>
        <v>-82800</v>
      </c>
      <c r="H295" s="100">
        <v>0</v>
      </c>
      <c r="J295" s="77" t="s">
        <v>570</v>
      </c>
      <c r="K295" s="64" t="s">
        <v>637</v>
      </c>
      <c r="L295" s="64" t="s">
        <v>850</v>
      </c>
      <c r="M295" s="63" t="s">
        <v>424</v>
      </c>
      <c r="N295" s="74" t="s">
        <v>431</v>
      </c>
      <c r="O295" s="65">
        <f>63600+19200</f>
        <v>82800</v>
      </c>
      <c r="P295" s="66">
        <f t="shared" si="75"/>
        <v>-82800</v>
      </c>
      <c r="Q295" s="100">
        <v>0</v>
      </c>
      <c r="R295" s="100"/>
      <c r="S295" s="66">
        <f t="shared" si="81"/>
        <v>0</v>
      </c>
      <c r="T295" s="65"/>
    </row>
    <row r="296" spans="1:20" ht="31.5" x14ac:dyDescent="0.2">
      <c r="A296" s="77" t="s">
        <v>570</v>
      </c>
      <c r="B296" s="64" t="s">
        <v>637</v>
      </c>
      <c r="C296" s="64" t="s">
        <v>850</v>
      </c>
      <c r="D296" s="63" t="s">
        <v>425</v>
      </c>
      <c r="E296" s="74" t="s">
        <v>432</v>
      </c>
      <c r="F296" s="65">
        <v>0</v>
      </c>
      <c r="G296" s="66">
        <f t="shared" si="74"/>
        <v>0</v>
      </c>
      <c r="H296" s="100">
        <v>0</v>
      </c>
      <c r="J296" s="77" t="s">
        <v>570</v>
      </c>
      <c r="K296" s="64" t="s">
        <v>637</v>
      </c>
      <c r="L296" s="64" t="s">
        <v>850</v>
      </c>
      <c r="M296" s="63" t="s">
        <v>425</v>
      </c>
      <c r="N296" s="74" t="s">
        <v>432</v>
      </c>
      <c r="O296" s="65">
        <v>0</v>
      </c>
      <c r="P296" s="66">
        <f t="shared" si="75"/>
        <v>0</v>
      </c>
      <c r="Q296" s="100">
        <v>0</v>
      </c>
      <c r="R296" s="100">
        <v>0</v>
      </c>
      <c r="S296" s="66">
        <f t="shared" si="81"/>
        <v>0</v>
      </c>
      <c r="T296" s="65">
        <v>0</v>
      </c>
    </row>
    <row r="297" spans="1:20" ht="31.5" x14ac:dyDescent="0.2">
      <c r="A297" s="77" t="s">
        <v>570</v>
      </c>
      <c r="B297" s="64" t="s">
        <v>637</v>
      </c>
      <c r="C297" s="64" t="s">
        <v>850</v>
      </c>
      <c r="D297" s="63" t="s">
        <v>423</v>
      </c>
      <c r="E297" s="74" t="s">
        <v>434</v>
      </c>
      <c r="F297" s="65">
        <v>0</v>
      </c>
      <c r="G297" s="66">
        <f t="shared" si="74"/>
        <v>0</v>
      </c>
      <c r="H297" s="100">
        <v>0</v>
      </c>
      <c r="J297" s="77" t="s">
        <v>570</v>
      </c>
      <c r="K297" s="64" t="s">
        <v>637</v>
      </c>
      <c r="L297" s="64" t="s">
        <v>850</v>
      </c>
      <c r="M297" s="63" t="s">
        <v>423</v>
      </c>
      <c r="N297" s="74" t="s">
        <v>434</v>
      </c>
      <c r="O297" s="65">
        <v>0</v>
      </c>
      <c r="P297" s="66">
        <f t="shared" si="75"/>
        <v>0</v>
      </c>
      <c r="Q297" s="100">
        <v>0</v>
      </c>
      <c r="R297" s="100">
        <v>0</v>
      </c>
      <c r="S297" s="66">
        <f t="shared" si="81"/>
        <v>0</v>
      </c>
      <c r="T297" s="65">
        <v>0</v>
      </c>
    </row>
    <row r="298" spans="1:20" ht="37.5" customHeight="1" x14ac:dyDescent="0.2">
      <c r="A298" s="77" t="s">
        <v>570</v>
      </c>
      <c r="B298" s="64" t="s">
        <v>637</v>
      </c>
      <c r="C298" s="64" t="s">
        <v>788</v>
      </c>
      <c r="D298" s="63"/>
      <c r="E298" s="74" t="s">
        <v>789</v>
      </c>
      <c r="F298" s="65">
        <f t="shared" ref="F298:H299" si="95">F299</f>
        <v>0</v>
      </c>
      <c r="G298" s="66">
        <f t="shared" si="74"/>
        <v>0</v>
      </c>
      <c r="H298" s="100">
        <f t="shared" si="95"/>
        <v>0</v>
      </c>
      <c r="J298" s="77" t="s">
        <v>570</v>
      </c>
      <c r="K298" s="64" t="s">
        <v>637</v>
      </c>
      <c r="L298" s="64" t="s">
        <v>788</v>
      </c>
      <c r="M298" s="63"/>
      <c r="N298" s="74" t="s">
        <v>789</v>
      </c>
      <c r="O298" s="65">
        <f t="shared" ref="O298:T299" si="96">O299</f>
        <v>0</v>
      </c>
      <c r="P298" s="66">
        <f t="shared" si="75"/>
        <v>0</v>
      </c>
      <c r="Q298" s="100">
        <f t="shared" si="96"/>
        <v>0</v>
      </c>
      <c r="R298" s="100">
        <f t="shared" si="96"/>
        <v>0</v>
      </c>
      <c r="S298" s="66">
        <f t="shared" si="81"/>
        <v>0</v>
      </c>
      <c r="T298" s="65">
        <f t="shared" si="96"/>
        <v>0</v>
      </c>
    </row>
    <row r="299" spans="1:20" ht="30.75" customHeight="1" x14ac:dyDescent="0.2">
      <c r="A299" s="77" t="s">
        <v>570</v>
      </c>
      <c r="B299" s="64" t="s">
        <v>637</v>
      </c>
      <c r="C299" s="64" t="s">
        <v>721</v>
      </c>
      <c r="D299" s="63"/>
      <c r="E299" s="74" t="s">
        <v>688</v>
      </c>
      <c r="F299" s="65">
        <f t="shared" si="95"/>
        <v>0</v>
      </c>
      <c r="G299" s="66">
        <f t="shared" si="74"/>
        <v>0</v>
      </c>
      <c r="H299" s="100">
        <f t="shared" si="95"/>
        <v>0</v>
      </c>
      <c r="J299" s="77" t="s">
        <v>570</v>
      </c>
      <c r="K299" s="64" t="s">
        <v>637</v>
      </c>
      <c r="L299" s="64" t="s">
        <v>721</v>
      </c>
      <c r="M299" s="63"/>
      <c r="N299" s="74" t="s">
        <v>688</v>
      </c>
      <c r="O299" s="65">
        <f t="shared" si="96"/>
        <v>0</v>
      </c>
      <c r="P299" s="66">
        <f t="shared" si="75"/>
        <v>0</v>
      </c>
      <c r="Q299" s="100">
        <f t="shared" si="96"/>
        <v>0</v>
      </c>
      <c r="R299" s="100">
        <f t="shared" si="96"/>
        <v>0</v>
      </c>
      <c r="S299" s="66">
        <f t="shared" si="81"/>
        <v>0</v>
      </c>
      <c r="T299" s="65">
        <f t="shared" si="96"/>
        <v>0</v>
      </c>
    </row>
    <row r="300" spans="1:20" ht="31.5" x14ac:dyDescent="0.2">
      <c r="A300" s="77" t="s">
        <v>570</v>
      </c>
      <c r="B300" s="64" t="s">
        <v>637</v>
      </c>
      <c r="C300" s="64" t="s">
        <v>721</v>
      </c>
      <c r="D300" s="63" t="s">
        <v>423</v>
      </c>
      <c r="E300" s="74" t="s">
        <v>434</v>
      </c>
      <c r="F300" s="65">
        <v>0</v>
      </c>
      <c r="G300" s="66">
        <f t="shared" si="74"/>
        <v>0</v>
      </c>
      <c r="H300" s="100">
        <v>0</v>
      </c>
      <c r="J300" s="77" t="s">
        <v>570</v>
      </c>
      <c r="K300" s="64" t="s">
        <v>637</v>
      </c>
      <c r="L300" s="64" t="s">
        <v>721</v>
      </c>
      <c r="M300" s="63" t="s">
        <v>423</v>
      </c>
      <c r="N300" s="74" t="s">
        <v>434</v>
      </c>
      <c r="O300" s="65">
        <v>0</v>
      </c>
      <c r="P300" s="66">
        <f t="shared" si="75"/>
        <v>0</v>
      </c>
      <c r="Q300" s="100">
        <v>0</v>
      </c>
      <c r="R300" s="100">
        <v>0</v>
      </c>
      <c r="S300" s="66">
        <f t="shared" si="81"/>
        <v>0</v>
      </c>
      <c r="T300" s="65">
        <v>0</v>
      </c>
    </row>
    <row r="301" spans="1:20" ht="78.75" x14ac:dyDescent="0.2">
      <c r="A301" s="70" t="s">
        <v>588</v>
      </c>
      <c r="B301" s="73"/>
      <c r="C301" s="70"/>
      <c r="D301" s="70"/>
      <c r="E301" s="78" t="s">
        <v>897</v>
      </c>
      <c r="F301" s="68" t="e">
        <f>F302+F321+F362+F369+F378+F393</f>
        <v>#REF!</v>
      </c>
      <c r="G301" s="68" t="e">
        <f>G302+G321+G362+G369+G378+G393</f>
        <v>#REF!</v>
      </c>
      <c r="H301" s="97">
        <f>H302+H321+H362+H369+H378+H393</f>
        <v>224393000</v>
      </c>
      <c r="J301" s="70" t="s">
        <v>588</v>
      </c>
      <c r="K301" s="73"/>
      <c r="L301" s="70"/>
      <c r="M301" s="70"/>
      <c r="N301" s="78" t="s">
        <v>897</v>
      </c>
      <c r="O301" s="68" t="e">
        <f t="shared" ref="O301:T301" si="97">O302+O321+O362+O369+O378+O393</f>
        <v>#REF!</v>
      </c>
      <c r="P301" s="68" t="e">
        <f t="shared" si="97"/>
        <v>#REF!</v>
      </c>
      <c r="Q301" s="97">
        <f t="shared" si="97"/>
        <v>224983002</v>
      </c>
      <c r="R301" s="97">
        <f t="shared" si="97"/>
        <v>222363310</v>
      </c>
      <c r="S301" s="68" t="e">
        <f t="shared" si="97"/>
        <v>#REF!</v>
      </c>
      <c r="T301" s="68" t="e">
        <f t="shared" si="97"/>
        <v>#REF!</v>
      </c>
    </row>
    <row r="302" spans="1:20" x14ac:dyDescent="0.2">
      <c r="A302" s="63" t="s">
        <v>588</v>
      </c>
      <c r="B302" s="63" t="s">
        <v>413</v>
      </c>
      <c r="C302" s="70"/>
      <c r="D302" s="70"/>
      <c r="E302" s="74" t="s">
        <v>414</v>
      </c>
      <c r="F302" s="66">
        <f>F304+F308+F317+F312+F314+F319+F310</f>
        <v>54937671</v>
      </c>
      <c r="G302" s="66">
        <f t="shared" ref="G302:G365" si="98">H302-F302</f>
        <v>-14326781</v>
      </c>
      <c r="H302" s="99">
        <f>H304+H308+H317+H312+H314+H319+H310</f>
        <v>40610890</v>
      </c>
      <c r="J302" s="63" t="s">
        <v>588</v>
      </c>
      <c r="K302" s="63" t="s">
        <v>413</v>
      </c>
      <c r="L302" s="70"/>
      <c r="M302" s="70"/>
      <c r="N302" s="74" t="s">
        <v>414</v>
      </c>
      <c r="O302" s="66" t="e">
        <f>O304+O308+O317+O312+O314+O319+#REF!+#REF!+#REF!+#REF!+O310</f>
        <v>#REF!</v>
      </c>
      <c r="P302" s="66" t="e">
        <f t="shared" ref="P302:P365" si="99">Q302-O302</f>
        <v>#REF!</v>
      </c>
      <c r="Q302" s="99">
        <f>Q304+Q308+Q317+Q312+Q314+Q319+Q310</f>
        <v>40640902</v>
      </c>
      <c r="R302" s="99">
        <f>R304+R308+R317+R312+R314+R319+R310</f>
        <v>40640902</v>
      </c>
      <c r="S302" s="66" t="e">
        <f t="shared" si="81"/>
        <v>#REF!</v>
      </c>
      <c r="T302" s="66" t="e">
        <f>T304+T308+T317+T312+T314+T319+#REF!+#REF!+#REF!+#REF!+T310</f>
        <v>#REF!</v>
      </c>
    </row>
    <row r="303" spans="1:20" ht="84" x14ac:dyDescent="0.2">
      <c r="A303" s="63" t="s">
        <v>588</v>
      </c>
      <c r="B303" s="63" t="s">
        <v>413</v>
      </c>
      <c r="C303" s="63" t="s">
        <v>852</v>
      </c>
      <c r="D303" s="70"/>
      <c r="E303" s="74" t="s">
        <v>853</v>
      </c>
      <c r="F303" s="66">
        <f>F304+F308</f>
        <v>10162671</v>
      </c>
      <c r="G303" s="66">
        <f t="shared" si="98"/>
        <v>1320319</v>
      </c>
      <c r="H303" s="99">
        <f>H304+H308</f>
        <v>11482990</v>
      </c>
      <c r="J303" s="63" t="s">
        <v>588</v>
      </c>
      <c r="K303" s="63" t="s">
        <v>413</v>
      </c>
      <c r="L303" s="63" t="s">
        <v>852</v>
      </c>
      <c r="M303" s="70"/>
      <c r="N303" s="74" t="s">
        <v>853</v>
      </c>
      <c r="O303" s="66">
        <f>O304+O308</f>
        <v>7254663</v>
      </c>
      <c r="P303" s="66">
        <f t="shared" si="99"/>
        <v>4258339</v>
      </c>
      <c r="Q303" s="99">
        <f>Q304+Q308</f>
        <v>11513002</v>
      </c>
      <c r="R303" s="99">
        <f>R304+R308</f>
        <v>11513002</v>
      </c>
      <c r="S303" s="66">
        <f t="shared" si="81"/>
        <v>-11513002</v>
      </c>
      <c r="T303" s="66">
        <f>T304+T308</f>
        <v>0</v>
      </c>
    </row>
    <row r="304" spans="1:20" ht="105" x14ac:dyDescent="0.2">
      <c r="A304" s="63" t="s">
        <v>588</v>
      </c>
      <c r="B304" s="63" t="s">
        <v>413</v>
      </c>
      <c r="C304" s="63" t="s">
        <v>854</v>
      </c>
      <c r="D304" s="63"/>
      <c r="E304" s="74" t="s">
        <v>740</v>
      </c>
      <c r="F304" s="66">
        <f>F305+F306+F307</f>
        <v>10006671</v>
      </c>
      <c r="G304" s="66">
        <f t="shared" si="98"/>
        <v>1317919</v>
      </c>
      <c r="H304" s="99">
        <f>H305+H306+H307</f>
        <v>11324590</v>
      </c>
      <c r="J304" s="63" t="s">
        <v>588</v>
      </c>
      <c r="K304" s="63" t="s">
        <v>413</v>
      </c>
      <c r="L304" s="63" t="s">
        <v>854</v>
      </c>
      <c r="M304" s="63"/>
      <c r="N304" s="74" t="s">
        <v>740</v>
      </c>
      <c r="O304" s="66">
        <f t="shared" ref="O304:T304" si="100">O305+O306+O307</f>
        <v>7098663</v>
      </c>
      <c r="P304" s="66">
        <f t="shared" si="99"/>
        <v>4255939</v>
      </c>
      <c r="Q304" s="99">
        <f t="shared" si="100"/>
        <v>11354602</v>
      </c>
      <c r="R304" s="99">
        <f t="shared" si="100"/>
        <v>11354602</v>
      </c>
      <c r="S304" s="66">
        <f t="shared" si="81"/>
        <v>-11354602</v>
      </c>
      <c r="T304" s="66">
        <f t="shared" si="100"/>
        <v>0</v>
      </c>
    </row>
    <row r="305" spans="1:20" ht="31.5" x14ac:dyDescent="0.2">
      <c r="A305" s="63" t="s">
        <v>588</v>
      </c>
      <c r="B305" s="63" t="s">
        <v>413</v>
      </c>
      <c r="C305" s="63" t="s">
        <v>854</v>
      </c>
      <c r="D305" s="63" t="s">
        <v>423</v>
      </c>
      <c r="E305" s="74" t="s">
        <v>434</v>
      </c>
      <c r="F305" s="66">
        <v>0</v>
      </c>
      <c r="G305" s="66">
        <f t="shared" si="98"/>
        <v>0</v>
      </c>
      <c r="H305" s="99">
        <v>0</v>
      </c>
      <c r="J305" s="63" t="s">
        <v>588</v>
      </c>
      <c r="K305" s="63" t="s">
        <v>413</v>
      </c>
      <c r="L305" s="63" t="s">
        <v>854</v>
      </c>
      <c r="M305" s="63" t="s">
        <v>423</v>
      </c>
      <c r="N305" s="74" t="s">
        <v>434</v>
      </c>
      <c r="O305" s="66">
        <v>0</v>
      </c>
      <c r="P305" s="66">
        <f t="shared" si="99"/>
        <v>0</v>
      </c>
      <c r="Q305" s="99">
        <v>0</v>
      </c>
      <c r="R305" s="99">
        <v>0</v>
      </c>
      <c r="S305" s="66">
        <f t="shared" si="81"/>
        <v>0</v>
      </c>
      <c r="T305" s="66">
        <v>0</v>
      </c>
    </row>
    <row r="306" spans="1:20" ht="63" x14ac:dyDescent="0.2">
      <c r="A306" s="63" t="s">
        <v>588</v>
      </c>
      <c r="B306" s="63" t="s">
        <v>413</v>
      </c>
      <c r="C306" s="63" t="s">
        <v>854</v>
      </c>
      <c r="D306" s="63">
        <v>611</v>
      </c>
      <c r="E306" s="74" t="s">
        <v>437</v>
      </c>
      <c r="F306" s="66">
        <f>7051580-80000-55000+3877000-1000000+844205-100930-269200-46824-5000-59600-149560</f>
        <v>10006671</v>
      </c>
      <c r="G306" s="66">
        <f t="shared" si="98"/>
        <v>1317919</v>
      </c>
      <c r="H306" s="99">
        <v>11324590</v>
      </c>
      <c r="J306" s="63" t="s">
        <v>588</v>
      </c>
      <c r="K306" s="63" t="s">
        <v>413</v>
      </c>
      <c r="L306" s="63" t="s">
        <v>854</v>
      </c>
      <c r="M306" s="63">
        <v>611</v>
      </c>
      <c r="N306" s="74" t="s">
        <v>437</v>
      </c>
      <c r="O306" s="66">
        <f>7051580-80000-55000+3877000-2000000-966873+4000-201860-269200-46824-5000-59600-149560</f>
        <v>7098663</v>
      </c>
      <c r="P306" s="66">
        <f t="shared" si="99"/>
        <v>4255939</v>
      </c>
      <c r="Q306" s="99">
        <v>11354602</v>
      </c>
      <c r="R306" s="99">
        <v>11354602</v>
      </c>
      <c r="S306" s="66">
        <f t="shared" si="81"/>
        <v>-11354602</v>
      </c>
      <c r="T306" s="66"/>
    </row>
    <row r="307" spans="1:20" ht="21" x14ac:dyDescent="0.2">
      <c r="A307" s="63" t="s">
        <v>588</v>
      </c>
      <c r="B307" s="63" t="s">
        <v>413</v>
      </c>
      <c r="C307" s="63" t="s">
        <v>854</v>
      </c>
      <c r="D307" s="63" t="s">
        <v>331</v>
      </c>
      <c r="E307" s="74" t="s">
        <v>332</v>
      </c>
      <c r="F307" s="66">
        <v>0</v>
      </c>
      <c r="G307" s="66">
        <f t="shared" si="98"/>
        <v>0</v>
      </c>
      <c r="H307" s="99">
        <v>0</v>
      </c>
      <c r="J307" s="63" t="s">
        <v>588</v>
      </c>
      <c r="K307" s="63" t="s">
        <v>413</v>
      </c>
      <c r="L307" s="63" t="s">
        <v>854</v>
      </c>
      <c r="M307" s="63" t="s">
        <v>331</v>
      </c>
      <c r="N307" s="74" t="s">
        <v>332</v>
      </c>
      <c r="O307" s="66">
        <v>0</v>
      </c>
      <c r="P307" s="66">
        <f t="shared" si="99"/>
        <v>0</v>
      </c>
      <c r="Q307" s="99">
        <v>0</v>
      </c>
      <c r="R307" s="99">
        <v>0</v>
      </c>
      <c r="S307" s="66">
        <f t="shared" si="81"/>
        <v>0</v>
      </c>
      <c r="T307" s="66">
        <v>0</v>
      </c>
    </row>
    <row r="308" spans="1:20" ht="73.5" x14ac:dyDescent="0.2">
      <c r="A308" s="63" t="s">
        <v>588</v>
      </c>
      <c r="B308" s="63" t="s">
        <v>413</v>
      </c>
      <c r="C308" s="63" t="s">
        <v>746</v>
      </c>
      <c r="D308" s="63"/>
      <c r="E308" s="74" t="s">
        <v>855</v>
      </c>
      <c r="F308" s="66">
        <f>F309</f>
        <v>156000</v>
      </c>
      <c r="G308" s="66">
        <f t="shared" si="98"/>
        <v>2400</v>
      </c>
      <c r="H308" s="99">
        <f>H309</f>
        <v>158400</v>
      </c>
      <c r="J308" s="63" t="s">
        <v>588</v>
      </c>
      <c r="K308" s="63" t="s">
        <v>413</v>
      </c>
      <c r="L308" s="63" t="s">
        <v>746</v>
      </c>
      <c r="M308" s="63"/>
      <c r="N308" s="74" t="s">
        <v>855</v>
      </c>
      <c r="O308" s="66">
        <f t="shared" ref="O308:T308" si="101">O309</f>
        <v>156000</v>
      </c>
      <c r="P308" s="66">
        <f t="shared" si="99"/>
        <v>2400</v>
      </c>
      <c r="Q308" s="99">
        <f t="shared" si="101"/>
        <v>158400</v>
      </c>
      <c r="R308" s="99">
        <f t="shared" si="101"/>
        <v>158400</v>
      </c>
      <c r="S308" s="66">
        <f t="shared" si="81"/>
        <v>-158400</v>
      </c>
      <c r="T308" s="66">
        <f t="shared" si="101"/>
        <v>0</v>
      </c>
    </row>
    <row r="309" spans="1:20" ht="63" x14ac:dyDescent="0.2">
      <c r="A309" s="63" t="s">
        <v>588</v>
      </c>
      <c r="B309" s="63" t="s">
        <v>413</v>
      </c>
      <c r="C309" s="63" t="s">
        <v>746</v>
      </c>
      <c r="D309" s="63">
        <v>611</v>
      </c>
      <c r="E309" s="74" t="s">
        <v>437</v>
      </c>
      <c r="F309" s="66">
        <v>156000</v>
      </c>
      <c r="G309" s="66">
        <f t="shared" si="98"/>
        <v>2400</v>
      </c>
      <c r="H309" s="99">
        <v>158400</v>
      </c>
      <c r="J309" s="63" t="s">
        <v>588</v>
      </c>
      <c r="K309" s="63" t="s">
        <v>413</v>
      </c>
      <c r="L309" s="63" t="s">
        <v>746</v>
      </c>
      <c r="M309" s="63">
        <v>611</v>
      </c>
      <c r="N309" s="74" t="s">
        <v>437</v>
      </c>
      <c r="O309" s="66">
        <v>156000</v>
      </c>
      <c r="P309" s="66">
        <f t="shared" si="99"/>
        <v>2400</v>
      </c>
      <c r="Q309" s="99">
        <v>158400</v>
      </c>
      <c r="R309" s="99">
        <v>158400</v>
      </c>
      <c r="S309" s="66">
        <f t="shared" si="81"/>
        <v>-158400</v>
      </c>
      <c r="T309" s="66"/>
    </row>
    <row r="310" spans="1:20" ht="105" x14ac:dyDescent="0.2">
      <c r="A310" s="63" t="s">
        <v>588</v>
      </c>
      <c r="B310" s="63" t="s">
        <v>413</v>
      </c>
      <c r="C310" s="63" t="s">
        <v>742</v>
      </c>
      <c r="D310" s="63"/>
      <c r="E310" s="74" t="s">
        <v>740</v>
      </c>
      <c r="F310" s="66">
        <f>F311</f>
        <v>18008000</v>
      </c>
      <c r="G310" s="66">
        <f t="shared" si="98"/>
        <v>-18008000</v>
      </c>
      <c r="H310" s="99">
        <f>H311</f>
        <v>0</v>
      </c>
      <c r="J310" s="63" t="s">
        <v>588</v>
      </c>
      <c r="K310" s="63" t="s">
        <v>413</v>
      </c>
      <c r="L310" s="63" t="s">
        <v>742</v>
      </c>
      <c r="M310" s="63"/>
      <c r="N310" s="74" t="s">
        <v>740</v>
      </c>
      <c r="O310" s="66">
        <f t="shared" ref="O310:T310" si="102">O311</f>
        <v>18008000</v>
      </c>
      <c r="P310" s="66">
        <f t="shared" si="99"/>
        <v>-18008000</v>
      </c>
      <c r="Q310" s="99">
        <f t="shared" si="102"/>
        <v>0</v>
      </c>
      <c r="R310" s="99">
        <f t="shared" si="102"/>
        <v>0</v>
      </c>
      <c r="S310" s="66">
        <f t="shared" si="81"/>
        <v>0</v>
      </c>
      <c r="T310" s="66">
        <f t="shared" si="102"/>
        <v>0</v>
      </c>
    </row>
    <row r="311" spans="1:20" ht="63" x14ac:dyDescent="0.2">
      <c r="A311" s="63" t="s">
        <v>588</v>
      </c>
      <c r="B311" s="63" t="s">
        <v>413</v>
      </c>
      <c r="C311" s="63" t="s">
        <v>742</v>
      </c>
      <c r="D311" s="63">
        <v>611</v>
      </c>
      <c r="E311" s="74" t="s">
        <v>437</v>
      </c>
      <c r="F311" s="66">
        <v>18008000</v>
      </c>
      <c r="G311" s="66">
        <f t="shared" si="98"/>
        <v>-18008000</v>
      </c>
      <c r="H311" s="99">
        <v>0</v>
      </c>
      <c r="J311" s="63" t="s">
        <v>588</v>
      </c>
      <c r="K311" s="63" t="s">
        <v>413</v>
      </c>
      <c r="L311" s="63" t="s">
        <v>742</v>
      </c>
      <c r="M311" s="63">
        <v>611</v>
      </c>
      <c r="N311" s="74" t="s">
        <v>437</v>
      </c>
      <c r="O311" s="66">
        <v>18008000</v>
      </c>
      <c r="P311" s="66">
        <f t="shared" si="99"/>
        <v>-18008000</v>
      </c>
      <c r="Q311" s="99">
        <v>0</v>
      </c>
      <c r="R311" s="99"/>
      <c r="S311" s="66">
        <f t="shared" si="81"/>
        <v>0</v>
      </c>
      <c r="T311" s="66"/>
    </row>
    <row r="312" spans="1:20" ht="105" x14ac:dyDescent="0.2">
      <c r="A312" s="63" t="s">
        <v>588</v>
      </c>
      <c r="B312" s="63" t="s">
        <v>413</v>
      </c>
      <c r="C312" s="63" t="s">
        <v>856</v>
      </c>
      <c r="D312" s="63"/>
      <c r="E312" s="74" t="s">
        <v>740</v>
      </c>
      <c r="F312" s="66">
        <f>F313</f>
        <v>26742000</v>
      </c>
      <c r="G312" s="66">
        <f t="shared" si="98"/>
        <v>2310900</v>
      </c>
      <c r="H312" s="99">
        <f>H313</f>
        <v>29052900</v>
      </c>
      <c r="J312" s="63" t="s">
        <v>588</v>
      </c>
      <c r="K312" s="63" t="s">
        <v>413</v>
      </c>
      <c r="L312" s="63" t="s">
        <v>856</v>
      </c>
      <c r="M312" s="63"/>
      <c r="N312" s="74" t="s">
        <v>740</v>
      </c>
      <c r="O312" s="66">
        <f>O313</f>
        <v>26742000</v>
      </c>
      <c r="P312" s="66">
        <f t="shared" si="99"/>
        <v>2310900</v>
      </c>
      <c r="Q312" s="99">
        <f>Q313</f>
        <v>29052900</v>
      </c>
      <c r="R312" s="99">
        <f>R313</f>
        <v>29052900</v>
      </c>
      <c r="S312" s="66">
        <f t="shared" si="81"/>
        <v>-29052900</v>
      </c>
      <c r="T312" s="66">
        <f>T313</f>
        <v>0</v>
      </c>
    </row>
    <row r="313" spans="1:20" ht="63" x14ac:dyDescent="0.2">
      <c r="A313" s="63" t="s">
        <v>588</v>
      </c>
      <c r="B313" s="63" t="s">
        <v>413</v>
      </c>
      <c r="C313" s="63" t="s">
        <v>856</v>
      </c>
      <c r="D313" s="63">
        <v>611</v>
      </c>
      <c r="E313" s="74" t="s">
        <v>437</v>
      </c>
      <c r="F313" s="66">
        <v>26742000</v>
      </c>
      <c r="G313" s="66">
        <f t="shared" si="98"/>
        <v>2310900</v>
      </c>
      <c r="H313" s="99">
        <v>29052900</v>
      </c>
      <c r="J313" s="63" t="s">
        <v>588</v>
      </c>
      <c r="K313" s="63" t="s">
        <v>413</v>
      </c>
      <c r="L313" s="63" t="s">
        <v>856</v>
      </c>
      <c r="M313" s="63">
        <v>611</v>
      </c>
      <c r="N313" s="74" t="s">
        <v>437</v>
      </c>
      <c r="O313" s="66">
        <v>26742000</v>
      </c>
      <c r="P313" s="66">
        <f t="shared" si="99"/>
        <v>2310900</v>
      </c>
      <c r="Q313" s="99">
        <v>29052900</v>
      </c>
      <c r="R313" s="99">
        <v>29052900</v>
      </c>
      <c r="S313" s="66">
        <f t="shared" si="81"/>
        <v>-29052900</v>
      </c>
      <c r="T313" s="66"/>
    </row>
    <row r="314" spans="1:20" ht="77.25" customHeight="1" x14ac:dyDescent="0.2">
      <c r="A314" s="63" t="s">
        <v>588</v>
      </c>
      <c r="B314" s="63" t="s">
        <v>413</v>
      </c>
      <c r="C314" s="63" t="s">
        <v>857</v>
      </c>
      <c r="D314" s="63"/>
      <c r="E314" s="74" t="s">
        <v>740</v>
      </c>
      <c r="F314" s="66">
        <f>F316</f>
        <v>25000</v>
      </c>
      <c r="G314" s="66">
        <f t="shared" si="98"/>
        <v>50000</v>
      </c>
      <c r="H314" s="99">
        <f>H316+H315</f>
        <v>75000</v>
      </c>
      <c r="J314" s="63" t="s">
        <v>588</v>
      </c>
      <c r="K314" s="63" t="s">
        <v>413</v>
      </c>
      <c r="L314" s="63" t="s">
        <v>857</v>
      </c>
      <c r="M314" s="63"/>
      <c r="N314" s="74" t="s">
        <v>740</v>
      </c>
      <c r="O314" s="66">
        <f>O316</f>
        <v>25000</v>
      </c>
      <c r="P314" s="66">
        <f t="shared" si="99"/>
        <v>50000</v>
      </c>
      <c r="Q314" s="99">
        <f>Q316+Q315</f>
        <v>75000</v>
      </c>
      <c r="R314" s="99">
        <f>R316+R315</f>
        <v>75000</v>
      </c>
      <c r="S314" s="66">
        <f t="shared" si="81"/>
        <v>-75000</v>
      </c>
      <c r="T314" s="66">
        <f>T316</f>
        <v>0</v>
      </c>
    </row>
    <row r="315" spans="1:20" ht="63" x14ac:dyDescent="0.2">
      <c r="A315" s="63" t="s">
        <v>588</v>
      </c>
      <c r="B315" s="63" t="s">
        <v>413</v>
      </c>
      <c r="C315" s="63" t="s">
        <v>857</v>
      </c>
      <c r="D315" s="63">
        <v>611</v>
      </c>
      <c r="E315" s="74" t="s">
        <v>437</v>
      </c>
      <c r="F315" s="66"/>
      <c r="G315" s="66"/>
      <c r="H315" s="99">
        <v>75000</v>
      </c>
      <c r="J315" s="63" t="s">
        <v>588</v>
      </c>
      <c r="K315" s="63" t="s">
        <v>413</v>
      </c>
      <c r="L315" s="63" t="s">
        <v>857</v>
      </c>
      <c r="M315" s="63">
        <v>611</v>
      </c>
      <c r="N315" s="74" t="s">
        <v>437</v>
      </c>
      <c r="O315" s="66"/>
      <c r="P315" s="66"/>
      <c r="Q315" s="99">
        <v>75000</v>
      </c>
      <c r="R315" s="99">
        <v>75000</v>
      </c>
      <c r="S315" s="66"/>
      <c r="T315" s="66"/>
    </row>
    <row r="316" spans="1:20" ht="21" x14ac:dyDescent="0.2">
      <c r="A316" s="63" t="s">
        <v>588</v>
      </c>
      <c r="B316" s="63" t="s">
        <v>413</v>
      </c>
      <c r="C316" s="63" t="s">
        <v>857</v>
      </c>
      <c r="D316" s="63" t="s">
        <v>331</v>
      </c>
      <c r="E316" s="74" t="s">
        <v>332</v>
      </c>
      <c r="F316" s="66">
        <v>25000</v>
      </c>
      <c r="G316" s="66">
        <f t="shared" si="98"/>
        <v>-25000</v>
      </c>
      <c r="H316" s="99">
        <v>0</v>
      </c>
      <c r="J316" s="63" t="s">
        <v>588</v>
      </c>
      <c r="K316" s="63" t="s">
        <v>413</v>
      </c>
      <c r="L316" s="63" t="s">
        <v>857</v>
      </c>
      <c r="M316" s="63" t="s">
        <v>331</v>
      </c>
      <c r="N316" s="74" t="s">
        <v>332</v>
      </c>
      <c r="O316" s="66">
        <v>25000</v>
      </c>
      <c r="P316" s="66">
        <f t="shared" si="99"/>
        <v>-25000</v>
      </c>
      <c r="Q316" s="99">
        <v>0</v>
      </c>
      <c r="R316" s="99">
        <v>0</v>
      </c>
      <c r="S316" s="66">
        <f t="shared" si="81"/>
        <v>0</v>
      </c>
      <c r="T316" s="66"/>
    </row>
    <row r="317" spans="1:20" ht="76.5" customHeight="1" x14ac:dyDescent="0.2">
      <c r="A317" s="63" t="s">
        <v>588</v>
      </c>
      <c r="B317" s="63" t="s">
        <v>413</v>
      </c>
      <c r="C317" s="63" t="s">
        <v>743</v>
      </c>
      <c r="D317" s="63"/>
      <c r="E317" s="74" t="s">
        <v>744</v>
      </c>
      <c r="F317" s="66">
        <f>F318</f>
        <v>0</v>
      </c>
      <c r="G317" s="66">
        <f t="shared" si="98"/>
        <v>0</v>
      </c>
      <c r="H317" s="99">
        <f>H318</f>
        <v>0</v>
      </c>
      <c r="J317" s="63" t="s">
        <v>588</v>
      </c>
      <c r="K317" s="63" t="s">
        <v>413</v>
      </c>
      <c r="L317" s="63" t="s">
        <v>743</v>
      </c>
      <c r="M317" s="63"/>
      <c r="N317" s="74" t="s">
        <v>744</v>
      </c>
      <c r="O317" s="66">
        <f t="shared" ref="O317:T317" si="103">O318</f>
        <v>0</v>
      </c>
      <c r="P317" s="66">
        <f t="shared" si="99"/>
        <v>0</v>
      </c>
      <c r="Q317" s="99">
        <f t="shared" si="103"/>
        <v>0</v>
      </c>
      <c r="R317" s="99">
        <f t="shared" si="103"/>
        <v>0</v>
      </c>
      <c r="S317" s="66">
        <f t="shared" si="81"/>
        <v>0</v>
      </c>
      <c r="T317" s="66">
        <f t="shared" si="103"/>
        <v>0</v>
      </c>
    </row>
    <row r="318" spans="1:20" ht="49.5" customHeight="1" x14ac:dyDescent="0.2">
      <c r="A318" s="63" t="s">
        <v>588</v>
      </c>
      <c r="B318" s="63" t="s">
        <v>413</v>
      </c>
      <c r="C318" s="63" t="s">
        <v>743</v>
      </c>
      <c r="D318" s="63">
        <v>611</v>
      </c>
      <c r="E318" s="74" t="s">
        <v>437</v>
      </c>
      <c r="F318" s="66">
        <v>0</v>
      </c>
      <c r="G318" s="66">
        <f t="shared" si="98"/>
        <v>0</v>
      </c>
      <c r="H318" s="99">
        <v>0</v>
      </c>
      <c r="J318" s="63" t="s">
        <v>588</v>
      </c>
      <c r="K318" s="63" t="s">
        <v>413</v>
      </c>
      <c r="L318" s="63" t="s">
        <v>743</v>
      </c>
      <c r="M318" s="63">
        <v>611</v>
      </c>
      <c r="N318" s="74" t="s">
        <v>437</v>
      </c>
      <c r="O318" s="66">
        <v>0</v>
      </c>
      <c r="P318" s="66">
        <f t="shared" si="99"/>
        <v>0</v>
      </c>
      <c r="Q318" s="99">
        <v>0</v>
      </c>
      <c r="R318" s="99">
        <v>0</v>
      </c>
      <c r="S318" s="66">
        <f t="shared" si="81"/>
        <v>0</v>
      </c>
      <c r="T318" s="66">
        <v>0</v>
      </c>
    </row>
    <row r="319" spans="1:20" ht="31.5" x14ac:dyDescent="0.2">
      <c r="A319" s="63" t="s">
        <v>588</v>
      </c>
      <c r="B319" s="63" t="s">
        <v>413</v>
      </c>
      <c r="C319" s="63">
        <v>4219900</v>
      </c>
      <c r="D319" s="63"/>
      <c r="E319" s="74" t="s">
        <v>71</v>
      </c>
      <c r="F319" s="66">
        <f>F320</f>
        <v>0</v>
      </c>
      <c r="G319" s="66">
        <f t="shared" si="98"/>
        <v>0</v>
      </c>
      <c r="H319" s="99">
        <f>H320</f>
        <v>0</v>
      </c>
      <c r="J319" s="63" t="s">
        <v>588</v>
      </c>
      <c r="K319" s="63" t="s">
        <v>413</v>
      </c>
      <c r="L319" s="63">
        <v>4219900</v>
      </c>
      <c r="M319" s="63"/>
      <c r="N319" s="74" t="s">
        <v>71</v>
      </c>
      <c r="O319" s="66">
        <f t="shared" ref="O319:T319" si="104">O320</f>
        <v>0</v>
      </c>
      <c r="P319" s="66">
        <f t="shared" si="99"/>
        <v>0</v>
      </c>
      <c r="Q319" s="99">
        <f t="shared" si="104"/>
        <v>0</v>
      </c>
      <c r="R319" s="99">
        <f t="shared" si="104"/>
        <v>0</v>
      </c>
      <c r="S319" s="66">
        <f t="shared" si="81"/>
        <v>0</v>
      </c>
      <c r="T319" s="66">
        <f t="shared" si="104"/>
        <v>0</v>
      </c>
    </row>
    <row r="320" spans="1:20" ht="63" x14ac:dyDescent="0.2">
      <c r="A320" s="63" t="s">
        <v>588</v>
      </c>
      <c r="B320" s="63" t="s">
        <v>413</v>
      </c>
      <c r="C320" s="63">
        <v>4219900</v>
      </c>
      <c r="D320" s="63">
        <v>611</v>
      </c>
      <c r="E320" s="74" t="s">
        <v>437</v>
      </c>
      <c r="F320" s="66">
        <v>0</v>
      </c>
      <c r="G320" s="66">
        <f t="shared" si="98"/>
        <v>0</v>
      </c>
      <c r="H320" s="99">
        <v>0</v>
      </c>
      <c r="J320" s="63" t="s">
        <v>588</v>
      </c>
      <c r="K320" s="63" t="s">
        <v>413</v>
      </c>
      <c r="L320" s="63">
        <v>4219900</v>
      </c>
      <c r="M320" s="63">
        <v>611</v>
      </c>
      <c r="N320" s="74" t="s">
        <v>437</v>
      </c>
      <c r="O320" s="66">
        <v>0</v>
      </c>
      <c r="P320" s="66">
        <f t="shared" si="99"/>
        <v>0</v>
      </c>
      <c r="Q320" s="99">
        <v>0</v>
      </c>
      <c r="R320" s="99">
        <v>0</v>
      </c>
      <c r="S320" s="66">
        <f t="shared" si="81"/>
        <v>0</v>
      </c>
      <c r="T320" s="66">
        <v>0</v>
      </c>
    </row>
    <row r="321" spans="1:20" x14ac:dyDescent="0.2">
      <c r="A321" s="63" t="s">
        <v>588</v>
      </c>
      <c r="B321" s="63" t="s">
        <v>528</v>
      </c>
      <c r="C321" s="63"/>
      <c r="D321" s="63"/>
      <c r="E321" s="74" t="s">
        <v>529</v>
      </c>
      <c r="F321" s="66">
        <f>F323+F325+F335+F338+F345+F347+F352+F355+F357+F360+F342+F349+F327+F329+F331</f>
        <v>198661380</v>
      </c>
      <c r="G321" s="66">
        <f t="shared" si="98"/>
        <v>-37227800</v>
      </c>
      <c r="H321" s="99">
        <f>H323+H325+H335+H338+H345+H347+H352+H355+H357+H360+H342+H349+H327+H329+H331</f>
        <v>161433580</v>
      </c>
      <c r="J321" s="63" t="s">
        <v>588</v>
      </c>
      <c r="K321" s="63" t="s">
        <v>528</v>
      </c>
      <c r="L321" s="63"/>
      <c r="M321" s="63"/>
      <c r="N321" s="74" t="s">
        <v>529</v>
      </c>
      <c r="O321" s="66" t="e">
        <f>O323+O325+O335+O338+O345+O347+O352+O355+O357+O360+O342+#REF!+O349+#REF!+#REF!+#REF!+#REF!+#REF!+#REF!+#REF!+#REF!+#REF!+#REF!+#REF!+#REF!+#REF!+#REF!+O327+O329+O331</f>
        <v>#REF!</v>
      </c>
      <c r="P321" s="66" t="e">
        <f t="shared" si="99"/>
        <v>#REF!</v>
      </c>
      <c r="Q321" s="99">
        <f>Q323+Q325+Q335+Q338+Q345+Q347+Q352+Q355+Q357+Q360+Q342+Q349+Q327+Q329+Q331</f>
        <v>161309760</v>
      </c>
      <c r="R321" s="99">
        <f>R323+R325+R335+R338+R345+R347+R352+R355+R357+R360+R342+R349+R327+R329+R331</f>
        <v>161217568</v>
      </c>
      <c r="S321" s="66" t="e">
        <f t="shared" si="81"/>
        <v>#REF!</v>
      </c>
      <c r="T321" s="66" t="e">
        <f>T323+T325+T335+T338+T345+T347+T352+T355+T357+T360+T342+#REF!+T349+#REF!+#REF!+#REF!+#REF!+#REF!+#REF!+#REF!+#REF!+#REF!+#REF!+#REF!+#REF!+#REF!+#REF!+T327+T329+T331</f>
        <v>#REF!</v>
      </c>
    </row>
    <row r="322" spans="1:20" ht="84" x14ac:dyDescent="0.2">
      <c r="A322" s="63" t="s">
        <v>588</v>
      </c>
      <c r="B322" s="63" t="s">
        <v>528</v>
      </c>
      <c r="C322" s="63" t="s">
        <v>858</v>
      </c>
      <c r="D322" s="63"/>
      <c r="E322" s="74" t="s">
        <v>859</v>
      </c>
      <c r="F322" s="66">
        <f>F323+F325</f>
        <v>3458000</v>
      </c>
      <c r="G322" s="66">
        <f t="shared" si="98"/>
        <v>-339560</v>
      </c>
      <c r="H322" s="99">
        <f>H323+H325</f>
        <v>3118440</v>
      </c>
      <c r="J322" s="63" t="s">
        <v>588</v>
      </c>
      <c r="K322" s="63" t="s">
        <v>528</v>
      </c>
      <c r="L322" s="63" t="s">
        <v>858</v>
      </c>
      <c r="M322" s="63"/>
      <c r="N322" s="74" t="s">
        <v>859</v>
      </c>
      <c r="O322" s="66">
        <f t="shared" ref="O322:T322" si="105">O323+O325</f>
        <v>3458000</v>
      </c>
      <c r="P322" s="66">
        <f t="shared" si="99"/>
        <v>-339560</v>
      </c>
      <c r="Q322" s="99">
        <f t="shared" si="105"/>
        <v>3118440</v>
      </c>
      <c r="R322" s="99">
        <f t="shared" si="105"/>
        <v>3057000</v>
      </c>
      <c r="S322" s="66">
        <f t="shared" si="81"/>
        <v>-3057000</v>
      </c>
      <c r="T322" s="66">
        <f t="shared" si="105"/>
        <v>0</v>
      </c>
    </row>
    <row r="323" spans="1:20" ht="147" x14ac:dyDescent="0.2">
      <c r="A323" s="63" t="s">
        <v>588</v>
      </c>
      <c r="B323" s="63" t="s">
        <v>528</v>
      </c>
      <c r="C323" s="63" t="s">
        <v>717</v>
      </c>
      <c r="D323" s="63"/>
      <c r="E323" s="74" t="s">
        <v>860</v>
      </c>
      <c r="F323" s="66">
        <f>F324</f>
        <v>475600</v>
      </c>
      <c r="G323" s="66">
        <f t="shared" si="98"/>
        <v>-339560</v>
      </c>
      <c r="H323" s="99">
        <f>H324</f>
        <v>136040</v>
      </c>
      <c r="J323" s="63" t="s">
        <v>588</v>
      </c>
      <c r="K323" s="63" t="s">
        <v>528</v>
      </c>
      <c r="L323" s="63" t="s">
        <v>717</v>
      </c>
      <c r="M323" s="63"/>
      <c r="N323" s="74" t="s">
        <v>860</v>
      </c>
      <c r="O323" s="66">
        <f t="shared" ref="O323:T323" si="106">O324</f>
        <v>475600</v>
      </c>
      <c r="P323" s="66">
        <f t="shared" si="99"/>
        <v>-339560</v>
      </c>
      <c r="Q323" s="99">
        <f t="shared" si="106"/>
        <v>136040</v>
      </c>
      <c r="R323" s="99">
        <f t="shared" si="106"/>
        <v>74600</v>
      </c>
      <c r="S323" s="66">
        <f t="shared" si="81"/>
        <v>-74600</v>
      </c>
      <c r="T323" s="66">
        <f t="shared" si="106"/>
        <v>0</v>
      </c>
    </row>
    <row r="324" spans="1:20" ht="63" x14ac:dyDescent="0.2">
      <c r="A324" s="63" t="s">
        <v>588</v>
      </c>
      <c r="B324" s="63" t="s">
        <v>528</v>
      </c>
      <c r="C324" s="63" t="s">
        <v>717</v>
      </c>
      <c r="D324" s="63" t="s">
        <v>429</v>
      </c>
      <c r="E324" s="74" t="s">
        <v>437</v>
      </c>
      <c r="F324" s="66">
        <v>475600</v>
      </c>
      <c r="G324" s="66">
        <f t="shared" si="98"/>
        <v>-339560</v>
      </c>
      <c r="H324" s="99">
        <v>136040</v>
      </c>
      <c r="J324" s="63" t="s">
        <v>588</v>
      </c>
      <c r="K324" s="63" t="s">
        <v>528</v>
      </c>
      <c r="L324" s="63" t="s">
        <v>717</v>
      </c>
      <c r="M324" s="63" t="s">
        <v>429</v>
      </c>
      <c r="N324" s="74" t="s">
        <v>437</v>
      </c>
      <c r="O324" s="66">
        <v>475600</v>
      </c>
      <c r="P324" s="66">
        <f t="shared" si="99"/>
        <v>-339560</v>
      </c>
      <c r="Q324" s="99">
        <v>136040</v>
      </c>
      <c r="R324" s="99">
        <v>74600</v>
      </c>
      <c r="S324" s="66">
        <f t="shared" ref="S324:S375" si="107">T324-R324</f>
        <v>-74600</v>
      </c>
      <c r="T324" s="66"/>
    </row>
    <row r="325" spans="1:20" ht="136.5" x14ac:dyDescent="0.2">
      <c r="A325" s="63" t="s">
        <v>588</v>
      </c>
      <c r="B325" s="63" t="s">
        <v>528</v>
      </c>
      <c r="C325" s="63" t="s">
        <v>719</v>
      </c>
      <c r="D325" s="63"/>
      <c r="E325" s="74" t="s">
        <v>745</v>
      </c>
      <c r="F325" s="66">
        <f>F326</f>
        <v>2982400</v>
      </c>
      <c r="G325" s="66">
        <f t="shared" si="98"/>
        <v>0</v>
      </c>
      <c r="H325" s="99">
        <f>H326</f>
        <v>2982400</v>
      </c>
      <c r="J325" s="63" t="s">
        <v>588</v>
      </c>
      <c r="K325" s="63" t="s">
        <v>528</v>
      </c>
      <c r="L325" s="63" t="s">
        <v>719</v>
      </c>
      <c r="M325" s="63"/>
      <c r="N325" s="74" t="s">
        <v>745</v>
      </c>
      <c r="O325" s="66">
        <f t="shared" ref="O325:T325" si="108">O326</f>
        <v>2982400</v>
      </c>
      <c r="P325" s="66">
        <f t="shared" si="99"/>
        <v>0</v>
      </c>
      <c r="Q325" s="99">
        <f t="shared" si="108"/>
        <v>2982400</v>
      </c>
      <c r="R325" s="99">
        <f t="shared" si="108"/>
        <v>2982400</v>
      </c>
      <c r="S325" s="66">
        <f t="shared" si="107"/>
        <v>-2982400</v>
      </c>
      <c r="T325" s="66">
        <f t="shared" si="108"/>
        <v>0</v>
      </c>
    </row>
    <row r="326" spans="1:20" ht="63" x14ac:dyDescent="0.2">
      <c r="A326" s="63" t="s">
        <v>588</v>
      </c>
      <c r="B326" s="63" t="s">
        <v>528</v>
      </c>
      <c r="C326" s="63" t="s">
        <v>719</v>
      </c>
      <c r="D326" s="63" t="s">
        <v>429</v>
      </c>
      <c r="E326" s="74" t="s">
        <v>437</v>
      </c>
      <c r="F326" s="66">
        <v>2982400</v>
      </c>
      <c r="G326" s="66">
        <f t="shared" si="98"/>
        <v>0</v>
      </c>
      <c r="H326" s="99">
        <v>2982400</v>
      </c>
      <c r="J326" s="63" t="s">
        <v>588</v>
      </c>
      <c r="K326" s="63" t="s">
        <v>528</v>
      </c>
      <c r="L326" s="63" t="s">
        <v>719</v>
      </c>
      <c r="M326" s="63" t="s">
        <v>429</v>
      </c>
      <c r="N326" s="74" t="s">
        <v>437</v>
      </c>
      <c r="O326" s="66">
        <v>2982400</v>
      </c>
      <c r="P326" s="66">
        <f t="shared" si="99"/>
        <v>0</v>
      </c>
      <c r="Q326" s="99">
        <v>2982400</v>
      </c>
      <c r="R326" s="99">
        <v>2982400</v>
      </c>
      <c r="S326" s="66">
        <f t="shared" si="107"/>
        <v>-2982400</v>
      </c>
      <c r="T326" s="66"/>
    </row>
    <row r="327" spans="1:20" ht="115.5" x14ac:dyDescent="0.2">
      <c r="A327" s="66" t="s">
        <v>588</v>
      </c>
      <c r="B327" s="66" t="s">
        <v>528</v>
      </c>
      <c r="C327" s="66" t="s">
        <v>856</v>
      </c>
      <c r="D327" s="66"/>
      <c r="E327" s="74" t="s">
        <v>749</v>
      </c>
      <c r="F327" s="66">
        <f>F328</f>
        <v>170432000</v>
      </c>
      <c r="G327" s="66">
        <f t="shared" si="98"/>
        <v>-41743000</v>
      </c>
      <c r="H327" s="99">
        <f>H328</f>
        <v>128689000</v>
      </c>
      <c r="J327" s="66" t="s">
        <v>588</v>
      </c>
      <c r="K327" s="66" t="s">
        <v>528</v>
      </c>
      <c r="L327" s="66" t="s">
        <v>856</v>
      </c>
      <c r="M327" s="66"/>
      <c r="N327" s="74" t="s">
        <v>749</v>
      </c>
      <c r="O327" s="66">
        <f t="shared" ref="O327:T327" si="109">O328</f>
        <v>170432000</v>
      </c>
      <c r="P327" s="66">
        <f t="shared" si="99"/>
        <v>-41743000</v>
      </c>
      <c r="Q327" s="99">
        <f t="shared" si="109"/>
        <v>128689000</v>
      </c>
      <c r="R327" s="99">
        <f t="shared" si="109"/>
        <v>128689000</v>
      </c>
      <c r="S327" s="66">
        <f t="shared" si="107"/>
        <v>-128689000</v>
      </c>
      <c r="T327" s="66">
        <f t="shared" si="109"/>
        <v>0</v>
      </c>
    </row>
    <row r="328" spans="1:20" ht="63" x14ac:dyDescent="0.2">
      <c r="A328" s="66" t="s">
        <v>588</v>
      </c>
      <c r="B328" s="66" t="s">
        <v>528</v>
      </c>
      <c r="C328" s="66" t="s">
        <v>856</v>
      </c>
      <c r="D328" s="66" t="s">
        <v>429</v>
      </c>
      <c r="E328" s="74" t="s">
        <v>437</v>
      </c>
      <c r="F328" s="66">
        <f>170432000</f>
        <v>170432000</v>
      </c>
      <c r="G328" s="66">
        <f t="shared" si="98"/>
        <v>-41743000</v>
      </c>
      <c r="H328" s="99">
        <v>128689000</v>
      </c>
      <c r="J328" s="66" t="s">
        <v>588</v>
      </c>
      <c r="K328" s="66" t="s">
        <v>528</v>
      </c>
      <c r="L328" s="66" t="s">
        <v>856</v>
      </c>
      <c r="M328" s="66" t="s">
        <v>429</v>
      </c>
      <c r="N328" s="74" t="s">
        <v>437</v>
      </c>
      <c r="O328" s="66">
        <f>170432000</f>
        <v>170432000</v>
      </c>
      <c r="P328" s="66">
        <f t="shared" si="99"/>
        <v>-41743000</v>
      </c>
      <c r="Q328" s="99">
        <v>128689000</v>
      </c>
      <c r="R328" s="99">
        <v>128689000</v>
      </c>
      <c r="S328" s="66">
        <f t="shared" si="107"/>
        <v>-128689000</v>
      </c>
      <c r="T328" s="66"/>
    </row>
    <row r="329" spans="1:20" ht="105" x14ac:dyDescent="0.2">
      <c r="A329" s="66" t="s">
        <v>588</v>
      </c>
      <c r="B329" s="66" t="s">
        <v>528</v>
      </c>
      <c r="C329" s="66" t="s">
        <v>861</v>
      </c>
      <c r="D329" s="66"/>
      <c r="E329" s="74" t="s">
        <v>748</v>
      </c>
      <c r="F329" s="66">
        <f>F330</f>
        <v>2726000</v>
      </c>
      <c r="G329" s="66">
        <f t="shared" si="98"/>
        <v>5000</v>
      </c>
      <c r="H329" s="99">
        <f>H330</f>
        <v>2731000</v>
      </c>
      <c r="J329" s="66" t="s">
        <v>588</v>
      </c>
      <c r="K329" s="66" t="s">
        <v>528</v>
      </c>
      <c r="L329" s="66" t="s">
        <v>861</v>
      </c>
      <c r="M329" s="66"/>
      <c r="N329" s="74" t="s">
        <v>748</v>
      </c>
      <c r="O329" s="66">
        <f t="shared" ref="O329:T329" si="110">O330</f>
        <v>2726000</v>
      </c>
      <c r="P329" s="66">
        <f t="shared" si="99"/>
        <v>5000</v>
      </c>
      <c r="Q329" s="99">
        <f t="shared" si="110"/>
        <v>2731000</v>
      </c>
      <c r="R329" s="99">
        <f t="shared" si="110"/>
        <v>2731000</v>
      </c>
      <c r="S329" s="66">
        <f t="shared" si="107"/>
        <v>-2731000</v>
      </c>
      <c r="T329" s="66">
        <f t="shared" si="110"/>
        <v>0</v>
      </c>
    </row>
    <row r="330" spans="1:20" ht="63" x14ac:dyDescent="0.2">
      <c r="A330" s="66" t="s">
        <v>588</v>
      </c>
      <c r="B330" s="66" t="s">
        <v>528</v>
      </c>
      <c r="C330" s="66" t="s">
        <v>861</v>
      </c>
      <c r="D330" s="66" t="s">
        <v>429</v>
      </c>
      <c r="E330" s="74" t="s">
        <v>437</v>
      </c>
      <c r="F330" s="66">
        <v>2726000</v>
      </c>
      <c r="G330" s="66">
        <f t="shared" si="98"/>
        <v>5000</v>
      </c>
      <c r="H330" s="99">
        <v>2731000</v>
      </c>
      <c r="J330" s="66" t="s">
        <v>588</v>
      </c>
      <c r="K330" s="66" t="s">
        <v>528</v>
      </c>
      <c r="L330" s="66" t="s">
        <v>861</v>
      </c>
      <c r="M330" s="66" t="s">
        <v>429</v>
      </c>
      <c r="N330" s="74" t="s">
        <v>437</v>
      </c>
      <c r="O330" s="66">
        <v>2726000</v>
      </c>
      <c r="P330" s="66">
        <f t="shared" si="99"/>
        <v>5000</v>
      </c>
      <c r="Q330" s="99">
        <v>2731000</v>
      </c>
      <c r="R330" s="99">
        <v>2731000</v>
      </c>
      <c r="S330" s="66">
        <f t="shared" si="107"/>
        <v>-2731000</v>
      </c>
      <c r="T330" s="66"/>
    </row>
    <row r="331" spans="1:20" ht="115.5" x14ac:dyDescent="0.2">
      <c r="A331" s="66" t="s">
        <v>588</v>
      </c>
      <c r="B331" s="66" t="s">
        <v>528</v>
      </c>
      <c r="C331" s="66" t="s">
        <v>857</v>
      </c>
      <c r="D331" s="66"/>
      <c r="E331" s="74" t="s">
        <v>749</v>
      </c>
      <c r="F331" s="66">
        <f>F333</f>
        <v>1950000</v>
      </c>
      <c r="G331" s="66">
        <f t="shared" si="98"/>
        <v>-299400</v>
      </c>
      <c r="H331" s="99">
        <f>H333+H332</f>
        <v>1650600</v>
      </c>
      <c r="J331" s="66" t="s">
        <v>588</v>
      </c>
      <c r="K331" s="66" t="s">
        <v>528</v>
      </c>
      <c r="L331" s="66" t="s">
        <v>857</v>
      </c>
      <c r="M331" s="66"/>
      <c r="N331" s="74" t="s">
        <v>749</v>
      </c>
      <c r="O331" s="66">
        <f>O333</f>
        <v>1950000</v>
      </c>
      <c r="P331" s="66">
        <f t="shared" si="99"/>
        <v>-299400</v>
      </c>
      <c r="Q331" s="99">
        <f>Q333+Q332</f>
        <v>1650600</v>
      </c>
      <c r="R331" s="99">
        <f>R333+R332</f>
        <v>1650600</v>
      </c>
      <c r="S331" s="66">
        <f t="shared" si="107"/>
        <v>-1650600</v>
      </c>
      <c r="T331" s="66">
        <f>T333</f>
        <v>0</v>
      </c>
    </row>
    <row r="332" spans="1:20" ht="63" x14ac:dyDescent="0.2">
      <c r="A332" s="66" t="s">
        <v>588</v>
      </c>
      <c r="B332" s="66" t="s">
        <v>528</v>
      </c>
      <c r="C332" s="66" t="s">
        <v>857</v>
      </c>
      <c r="D332" s="66" t="s">
        <v>429</v>
      </c>
      <c r="E332" s="74" t="s">
        <v>437</v>
      </c>
      <c r="F332" s="66"/>
      <c r="G332" s="66"/>
      <c r="H332" s="99">
        <v>1650600</v>
      </c>
      <c r="J332" s="66" t="s">
        <v>588</v>
      </c>
      <c r="K332" s="66" t="s">
        <v>528</v>
      </c>
      <c r="L332" s="66" t="s">
        <v>857</v>
      </c>
      <c r="M332" s="66" t="s">
        <v>429</v>
      </c>
      <c r="N332" s="74" t="s">
        <v>437</v>
      </c>
      <c r="O332" s="66"/>
      <c r="P332" s="66"/>
      <c r="Q332" s="99">
        <v>1650600</v>
      </c>
      <c r="R332" s="99">
        <v>1650600</v>
      </c>
      <c r="S332" s="66"/>
      <c r="T332" s="66"/>
    </row>
    <row r="333" spans="1:20" ht="21" x14ac:dyDescent="0.2">
      <c r="A333" s="66" t="s">
        <v>588</v>
      </c>
      <c r="B333" s="66" t="s">
        <v>528</v>
      </c>
      <c r="C333" s="66" t="s">
        <v>857</v>
      </c>
      <c r="D333" s="66" t="s">
        <v>331</v>
      </c>
      <c r="E333" s="74" t="s">
        <v>332</v>
      </c>
      <c r="F333" s="66">
        <v>1950000</v>
      </c>
      <c r="G333" s="66">
        <f t="shared" si="98"/>
        <v>-1950000</v>
      </c>
      <c r="H333" s="99">
        <v>0</v>
      </c>
      <c r="J333" s="66" t="s">
        <v>588</v>
      </c>
      <c r="K333" s="66" t="s">
        <v>528</v>
      </c>
      <c r="L333" s="66" t="s">
        <v>857</v>
      </c>
      <c r="M333" s="66" t="s">
        <v>331</v>
      </c>
      <c r="N333" s="74" t="s">
        <v>332</v>
      </c>
      <c r="O333" s="66">
        <v>1950000</v>
      </c>
      <c r="P333" s="66">
        <f t="shared" si="99"/>
        <v>-1950000</v>
      </c>
      <c r="Q333" s="99">
        <v>0</v>
      </c>
      <c r="R333" s="99"/>
      <c r="S333" s="66">
        <f t="shared" si="107"/>
        <v>0</v>
      </c>
      <c r="T333" s="66"/>
    </row>
    <row r="334" spans="1:20" ht="84" x14ac:dyDescent="0.2">
      <c r="A334" s="63" t="s">
        <v>588</v>
      </c>
      <c r="B334" s="63" t="s">
        <v>528</v>
      </c>
      <c r="C334" s="76" t="s">
        <v>862</v>
      </c>
      <c r="D334" s="66"/>
      <c r="E334" s="74" t="s">
        <v>863</v>
      </c>
      <c r="F334" s="66">
        <f>F335+F338</f>
        <v>17278080</v>
      </c>
      <c r="G334" s="66">
        <f t="shared" si="98"/>
        <v>4974380</v>
      </c>
      <c r="H334" s="99">
        <f>H335+H338</f>
        <v>22252460</v>
      </c>
      <c r="J334" s="63" t="s">
        <v>588</v>
      </c>
      <c r="K334" s="63" t="s">
        <v>528</v>
      </c>
      <c r="L334" s="76" t="s">
        <v>862</v>
      </c>
      <c r="M334" s="66"/>
      <c r="N334" s="74" t="s">
        <v>863</v>
      </c>
      <c r="O334" s="66">
        <f>O335+O338</f>
        <v>17278080</v>
      </c>
      <c r="P334" s="66">
        <f t="shared" si="99"/>
        <v>4760560</v>
      </c>
      <c r="Q334" s="99">
        <f>Q335+Q338</f>
        <v>22038640</v>
      </c>
      <c r="R334" s="99">
        <f>R335+R338</f>
        <v>22038640</v>
      </c>
      <c r="S334" s="66">
        <f t="shared" si="107"/>
        <v>-22038640</v>
      </c>
      <c r="T334" s="66">
        <f>T335+T338</f>
        <v>0</v>
      </c>
    </row>
    <row r="335" spans="1:20" ht="115.5" x14ac:dyDescent="0.2">
      <c r="A335" s="63" t="s">
        <v>588</v>
      </c>
      <c r="B335" s="63" t="s">
        <v>528</v>
      </c>
      <c r="C335" s="63" t="s">
        <v>750</v>
      </c>
      <c r="D335" s="63"/>
      <c r="E335" s="74" t="s">
        <v>749</v>
      </c>
      <c r="F335" s="66">
        <f>F337</f>
        <v>125000</v>
      </c>
      <c r="G335" s="66">
        <f t="shared" si="98"/>
        <v>0</v>
      </c>
      <c r="H335" s="99">
        <f>H337+H336</f>
        <v>125000</v>
      </c>
      <c r="J335" s="63" t="s">
        <v>588</v>
      </c>
      <c r="K335" s="63" t="s">
        <v>528</v>
      </c>
      <c r="L335" s="63" t="s">
        <v>750</v>
      </c>
      <c r="M335" s="63"/>
      <c r="N335" s="74" t="s">
        <v>749</v>
      </c>
      <c r="O335" s="66">
        <f>O337</f>
        <v>125000</v>
      </c>
      <c r="P335" s="66">
        <f t="shared" si="99"/>
        <v>0</v>
      </c>
      <c r="Q335" s="99">
        <f>Q337+Q336</f>
        <v>125000</v>
      </c>
      <c r="R335" s="99">
        <f>R337+R336</f>
        <v>125000</v>
      </c>
      <c r="S335" s="66">
        <f t="shared" si="107"/>
        <v>-125000</v>
      </c>
      <c r="T335" s="66">
        <f>T337</f>
        <v>0</v>
      </c>
    </row>
    <row r="336" spans="1:20" ht="63" x14ac:dyDescent="0.2">
      <c r="A336" s="63" t="s">
        <v>588</v>
      </c>
      <c r="B336" s="63" t="s">
        <v>528</v>
      </c>
      <c r="C336" s="63" t="s">
        <v>750</v>
      </c>
      <c r="D336" s="66" t="s">
        <v>429</v>
      </c>
      <c r="E336" s="74" t="s">
        <v>437</v>
      </c>
      <c r="F336" s="66"/>
      <c r="G336" s="66"/>
      <c r="H336" s="99">
        <v>125000</v>
      </c>
      <c r="J336" s="63" t="s">
        <v>588</v>
      </c>
      <c r="K336" s="63" t="s">
        <v>528</v>
      </c>
      <c r="L336" s="63" t="s">
        <v>750</v>
      </c>
      <c r="M336" s="66" t="s">
        <v>429</v>
      </c>
      <c r="N336" s="74" t="s">
        <v>437</v>
      </c>
      <c r="O336" s="66"/>
      <c r="P336" s="66"/>
      <c r="Q336" s="99">
        <v>125000</v>
      </c>
      <c r="R336" s="99">
        <v>125000</v>
      </c>
      <c r="S336" s="66"/>
      <c r="T336" s="66"/>
    </row>
    <row r="337" spans="1:20" ht="21" x14ac:dyDescent="0.2">
      <c r="A337" s="63" t="s">
        <v>588</v>
      </c>
      <c r="B337" s="63" t="s">
        <v>528</v>
      </c>
      <c r="C337" s="63" t="s">
        <v>750</v>
      </c>
      <c r="D337" s="63" t="s">
        <v>331</v>
      </c>
      <c r="E337" s="74" t="s">
        <v>332</v>
      </c>
      <c r="F337" s="66">
        <v>125000</v>
      </c>
      <c r="G337" s="66">
        <f t="shared" si="98"/>
        <v>-125000</v>
      </c>
      <c r="H337" s="99">
        <v>0</v>
      </c>
      <c r="J337" s="63" t="s">
        <v>588</v>
      </c>
      <c r="K337" s="63" t="s">
        <v>528</v>
      </c>
      <c r="L337" s="63" t="s">
        <v>750</v>
      </c>
      <c r="M337" s="63" t="s">
        <v>331</v>
      </c>
      <c r="N337" s="74" t="s">
        <v>332</v>
      </c>
      <c r="O337" s="66">
        <v>125000</v>
      </c>
      <c r="P337" s="66">
        <f t="shared" si="99"/>
        <v>-125000</v>
      </c>
      <c r="Q337" s="99">
        <v>0</v>
      </c>
      <c r="R337" s="99"/>
      <c r="S337" s="66">
        <f t="shared" si="107"/>
        <v>0</v>
      </c>
      <c r="T337" s="66"/>
    </row>
    <row r="338" spans="1:20" ht="105" x14ac:dyDescent="0.2">
      <c r="A338" s="63" t="s">
        <v>588</v>
      </c>
      <c r="B338" s="63" t="s">
        <v>528</v>
      </c>
      <c r="C338" s="63" t="s">
        <v>864</v>
      </c>
      <c r="D338" s="63"/>
      <c r="E338" s="74" t="s">
        <v>748</v>
      </c>
      <c r="F338" s="66">
        <f>F339+F340+F341</f>
        <v>17153080</v>
      </c>
      <c r="G338" s="66">
        <f t="shared" si="98"/>
        <v>4974380</v>
      </c>
      <c r="H338" s="99">
        <f>H339+H340+H341</f>
        <v>22127460</v>
      </c>
      <c r="J338" s="63" t="s">
        <v>588</v>
      </c>
      <c r="K338" s="63" t="s">
        <v>528</v>
      </c>
      <c r="L338" s="63" t="s">
        <v>864</v>
      </c>
      <c r="M338" s="63"/>
      <c r="N338" s="74" t="s">
        <v>748</v>
      </c>
      <c r="O338" s="66">
        <f t="shared" ref="O338:T338" si="111">O339+O340+O341</f>
        <v>17153080</v>
      </c>
      <c r="P338" s="66">
        <f t="shared" si="99"/>
        <v>4760560</v>
      </c>
      <c r="Q338" s="99">
        <f t="shared" si="111"/>
        <v>21913640</v>
      </c>
      <c r="R338" s="99">
        <f t="shared" si="111"/>
        <v>21913640</v>
      </c>
      <c r="S338" s="66">
        <f t="shared" si="107"/>
        <v>-21913640</v>
      </c>
      <c r="T338" s="66">
        <f t="shared" si="111"/>
        <v>0</v>
      </c>
    </row>
    <row r="339" spans="1:20" ht="31.5" x14ac:dyDescent="0.2">
      <c r="A339" s="63" t="s">
        <v>588</v>
      </c>
      <c r="B339" s="63" t="s">
        <v>528</v>
      </c>
      <c r="C339" s="63" t="s">
        <v>864</v>
      </c>
      <c r="D339" s="63" t="s">
        <v>423</v>
      </c>
      <c r="E339" s="74" t="s">
        <v>434</v>
      </c>
      <c r="F339" s="66">
        <v>0</v>
      </c>
      <c r="G339" s="66">
        <f t="shared" si="98"/>
        <v>0</v>
      </c>
      <c r="H339" s="99">
        <v>0</v>
      </c>
      <c r="J339" s="63" t="s">
        <v>588</v>
      </c>
      <c r="K339" s="63" t="s">
        <v>528</v>
      </c>
      <c r="L339" s="63" t="s">
        <v>864</v>
      </c>
      <c r="M339" s="63" t="s">
        <v>423</v>
      </c>
      <c r="N339" s="74" t="s">
        <v>434</v>
      </c>
      <c r="O339" s="66">
        <v>0</v>
      </c>
      <c r="P339" s="66">
        <f t="shared" si="99"/>
        <v>0</v>
      </c>
      <c r="Q339" s="99">
        <v>0</v>
      </c>
      <c r="R339" s="99">
        <v>0</v>
      </c>
      <c r="S339" s="66">
        <f t="shared" si="107"/>
        <v>0</v>
      </c>
      <c r="T339" s="66">
        <v>0</v>
      </c>
    </row>
    <row r="340" spans="1:20" ht="63" x14ac:dyDescent="0.2">
      <c r="A340" s="63" t="s">
        <v>588</v>
      </c>
      <c r="B340" s="63" t="s">
        <v>528</v>
      </c>
      <c r="C340" s="63" t="s">
        <v>864</v>
      </c>
      <c r="D340" s="63" t="s">
        <v>429</v>
      </c>
      <c r="E340" s="74" t="s">
        <v>437</v>
      </c>
      <c r="F340" s="66">
        <f>13575980+2972100+550000+55000</f>
        <v>17153080</v>
      </c>
      <c r="G340" s="66">
        <f t="shared" si="98"/>
        <v>4974380</v>
      </c>
      <c r="H340" s="99">
        <v>22127460</v>
      </c>
      <c r="J340" s="63" t="s">
        <v>588</v>
      </c>
      <c r="K340" s="63" t="s">
        <v>528</v>
      </c>
      <c r="L340" s="63" t="s">
        <v>864</v>
      </c>
      <c r="M340" s="63" t="s">
        <v>429</v>
      </c>
      <c r="N340" s="74" t="s">
        <v>437</v>
      </c>
      <c r="O340" s="66">
        <f>13575980+2972100+550000+55000</f>
        <v>17153080</v>
      </c>
      <c r="P340" s="66">
        <f t="shared" si="99"/>
        <v>4760560</v>
      </c>
      <c r="Q340" s="99">
        <v>21913640</v>
      </c>
      <c r="R340" s="99">
        <v>21913640</v>
      </c>
      <c r="S340" s="66">
        <f t="shared" si="107"/>
        <v>-21913640</v>
      </c>
      <c r="T340" s="66"/>
    </row>
    <row r="341" spans="1:20" ht="21" x14ac:dyDescent="0.2">
      <c r="A341" s="63" t="s">
        <v>588</v>
      </c>
      <c r="B341" s="63" t="s">
        <v>528</v>
      </c>
      <c r="C341" s="63" t="s">
        <v>864</v>
      </c>
      <c r="D341" s="63" t="s">
        <v>331</v>
      </c>
      <c r="E341" s="74" t="s">
        <v>332</v>
      </c>
      <c r="F341" s="66">
        <v>0</v>
      </c>
      <c r="G341" s="66">
        <f t="shared" si="98"/>
        <v>0</v>
      </c>
      <c r="H341" s="99">
        <v>0</v>
      </c>
      <c r="J341" s="63" t="s">
        <v>588</v>
      </c>
      <c r="K341" s="63" t="s">
        <v>528</v>
      </c>
      <c r="L341" s="63" t="s">
        <v>864</v>
      </c>
      <c r="M341" s="63" t="s">
        <v>331</v>
      </c>
      <c r="N341" s="74" t="s">
        <v>332</v>
      </c>
      <c r="O341" s="66">
        <v>0</v>
      </c>
      <c r="P341" s="66">
        <f t="shared" si="99"/>
        <v>0</v>
      </c>
      <c r="Q341" s="99">
        <v>0</v>
      </c>
      <c r="R341" s="99">
        <v>0</v>
      </c>
      <c r="S341" s="66">
        <f t="shared" si="107"/>
        <v>0</v>
      </c>
      <c r="T341" s="66">
        <v>0</v>
      </c>
    </row>
    <row r="342" spans="1:20" ht="115.5" x14ac:dyDescent="0.2">
      <c r="A342" s="66" t="s">
        <v>588</v>
      </c>
      <c r="B342" s="66" t="s">
        <v>528</v>
      </c>
      <c r="C342" s="66" t="s">
        <v>856</v>
      </c>
      <c r="D342" s="66"/>
      <c r="E342" s="74" t="s">
        <v>749</v>
      </c>
      <c r="F342" s="66">
        <f>F343</f>
        <v>0</v>
      </c>
      <c r="G342" s="66">
        <f t="shared" si="98"/>
        <v>0</v>
      </c>
      <c r="H342" s="99">
        <f>H343</f>
        <v>0</v>
      </c>
      <c r="J342" s="66" t="s">
        <v>588</v>
      </c>
      <c r="K342" s="66" t="s">
        <v>528</v>
      </c>
      <c r="L342" s="66" t="s">
        <v>856</v>
      </c>
      <c r="M342" s="66"/>
      <c r="N342" s="74" t="s">
        <v>749</v>
      </c>
      <c r="O342" s="66">
        <f t="shared" ref="O342:T342" si="112">O343</f>
        <v>0</v>
      </c>
      <c r="P342" s="66">
        <f t="shared" si="99"/>
        <v>0</v>
      </c>
      <c r="Q342" s="99">
        <f t="shared" si="112"/>
        <v>0</v>
      </c>
      <c r="R342" s="99">
        <f t="shared" si="112"/>
        <v>0</v>
      </c>
      <c r="S342" s="66">
        <f t="shared" si="107"/>
        <v>0</v>
      </c>
      <c r="T342" s="66">
        <f t="shared" si="112"/>
        <v>0</v>
      </c>
    </row>
    <row r="343" spans="1:20" ht="63" x14ac:dyDescent="0.2">
      <c r="A343" s="66" t="s">
        <v>588</v>
      </c>
      <c r="B343" s="66" t="s">
        <v>528</v>
      </c>
      <c r="C343" s="66" t="s">
        <v>856</v>
      </c>
      <c r="D343" s="66" t="s">
        <v>429</v>
      </c>
      <c r="E343" s="74" t="s">
        <v>437</v>
      </c>
      <c r="F343" s="66">
        <v>0</v>
      </c>
      <c r="G343" s="66">
        <f t="shared" si="98"/>
        <v>0</v>
      </c>
      <c r="H343" s="99">
        <v>0</v>
      </c>
      <c r="J343" s="66" t="s">
        <v>588</v>
      </c>
      <c r="K343" s="66" t="s">
        <v>528</v>
      </c>
      <c r="L343" s="66" t="s">
        <v>856</v>
      </c>
      <c r="M343" s="66" t="s">
        <v>429</v>
      </c>
      <c r="N343" s="74" t="s">
        <v>437</v>
      </c>
      <c r="O343" s="66">
        <v>0</v>
      </c>
      <c r="P343" s="66">
        <f t="shared" si="99"/>
        <v>0</v>
      </c>
      <c r="Q343" s="99">
        <v>0</v>
      </c>
      <c r="R343" s="99">
        <v>0</v>
      </c>
      <c r="S343" s="66">
        <f t="shared" si="107"/>
        <v>0</v>
      </c>
      <c r="T343" s="66">
        <v>0</v>
      </c>
    </row>
    <row r="344" spans="1:20" ht="84" x14ac:dyDescent="0.2">
      <c r="A344" s="63" t="s">
        <v>588</v>
      </c>
      <c r="B344" s="63" t="s">
        <v>528</v>
      </c>
      <c r="C344" s="76" t="s">
        <v>865</v>
      </c>
      <c r="D344" s="66"/>
      <c r="E344" s="74" t="s">
        <v>866</v>
      </c>
      <c r="F344" s="66">
        <f>F345+F347</f>
        <v>2817300</v>
      </c>
      <c r="G344" s="66">
        <f t="shared" si="98"/>
        <v>174780</v>
      </c>
      <c r="H344" s="99">
        <f>H345+H347</f>
        <v>2992080</v>
      </c>
      <c r="J344" s="63" t="s">
        <v>588</v>
      </c>
      <c r="K344" s="63" t="s">
        <v>528</v>
      </c>
      <c r="L344" s="76" t="s">
        <v>865</v>
      </c>
      <c r="M344" s="66"/>
      <c r="N344" s="74" t="s">
        <v>866</v>
      </c>
      <c r="O344" s="66">
        <f t="shared" ref="O344:T344" si="113">O345+O347</f>
        <v>2817300</v>
      </c>
      <c r="P344" s="66">
        <f t="shared" si="99"/>
        <v>174780</v>
      </c>
      <c r="Q344" s="99">
        <f t="shared" si="113"/>
        <v>2992080</v>
      </c>
      <c r="R344" s="99">
        <f t="shared" si="113"/>
        <v>2961328</v>
      </c>
      <c r="S344" s="66">
        <f t="shared" si="107"/>
        <v>-2961328</v>
      </c>
      <c r="T344" s="66">
        <f t="shared" si="113"/>
        <v>0</v>
      </c>
    </row>
    <row r="345" spans="1:20" ht="115.5" x14ac:dyDescent="0.2">
      <c r="A345" s="63" t="s">
        <v>588</v>
      </c>
      <c r="B345" s="63" t="s">
        <v>528</v>
      </c>
      <c r="C345" s="63" t="s">
        <v>739</v>
      </c>
      <c r="D345" s="63"/>
      <c r="E345" s="74" t="s">
        <v>867</v>
      </c>
      <c r="F345" s="66">
        <f>F346</f>
        <v>0</v>
      </c>
      <c r="G345" s="66">
        <f t="shared" si="98"/>
        <v>174780</v>
      </c>
      <c r="H345" s="99">
        <f>H346</f>
        <v>174780</v>
      </c>
      <c r="J345" s="63" t="s">
        <v>588</v>
      </c>
      <c r="K345" s="63" t="s">
        <v>528</v>
      </c>
      <c r="L345" s="63" t="s">
        <v>739</v>
      </c>
      <c r="M345" s="63"/>
      <c r="N345" s="74" t="s">
        <v>867</v>
      </c>
      <c r="O345" s="66">
        <f t="shared" ref="O345:T345" si="114">O346</f>
        <v>0</v>
      </c>
      <c r="P345" s="66">
        <f t="shared" si="99"/>
        <v>174780</v>
      </c>
      <c r="Q345" s="99">
        <f t="shared" si="114"/>
        <v>174780</v>
      </c>
      <c r="R345" s="99">
        <f t="shared" si="114"/>
        <v>144028</v>
      </c>
      <c r="S345" s="66">
        <f t="shared" si="107"/>
        <v>-144028</v>
      </c>
      <c r="T345" s="66">
        <f t="shared" si="114"/>
        <v>0</v>
      </c>
    </row>
    <row r="346" spans="1:20" ht="63" x14ac:dyDescent="0.2">
      <c r="A346" s="63" t="s">
        <v>588</v>
      </c>
      <c r="B346" s="63" t="s">
        <v>528</v>
      </c>
      <c r="C346" s="63" t="s">
        <v>739</v>
      </c>
      <c r="D346" s="63" t="s">
        <v>429</v>
      </c>
      <c r="E346" s="74" t="s">
        <v>437</v>
      </c>
      <c r="F346" s="66">
        <v>0</v>
      </c>
      <c r="G346" s="66">
        <f t="shared" si="98"/>
        <v>174780</v>
      </c>
      <c r="H346" s="99">
        <v>174780</v>
      </c>
      <c r="J346" s="63" t="s">
        <v>588</v>
      </c>
      <c r="K346" s="63" t="s">
        <v>528</v>
      </c>
      <c r="L346" s="63" t="s">
        <v>739</v>
      </c>
      <c r="M346" s="63" t="s">
        <v>429</v>
      </c>
      <c r="N346" s="74" t="s">
        <v>437</v>
      </c>
      <c r="O346" s="66">
        <v>0</v>
      </c>
      <c r="P346" s="66">
        <f t="shared" si="99"/>
        <v>174780</v>
      </c>
      <c r="Q346" s="99">
        <v>174780</v>
      </c>
      <c r="R346" s="99">
        <v>144028</v>
      </c>
      <c r="S346" s="66">
        <f t="shared" si="107"/>
        <v>-144028</v>
      </c>
      <c r="T346" s="66">
        <v>0</v>
      </c>
    </row>
    <row r="347" spans="1:20" ht="136.5" x14ac:dyDescent="0.2">
      <c r="A347" s="63" t="s">
        <v>588</v>
      </c>
      <c r="B347" s="63" t="s">
        <v>528</v>
      </c>
      <c r="C347" s="63" t="s">
        <v>741</v>
      </c>
      <c r="D347" s="63"/>
      <c r="E347" s="74" t="s">
        <v>868</v>
      </c>
      <c r="F347" s="66">
        <f>F348</f>
        <v>2817300</v>
      </c>
      <c r="G347" s="66">
        <f t="shared" si="98"/>
        <v>0</v>
      </c>
      <c r="H347" s="99">
        <f>H348</f>
        <v>2817300</v>
      </c>
      <c r="J347" s="63" t="s">
        <v>588</v>
      </c>
      <c r="K347" s="63" t="s">
        <v>528</v>
      </c>
      <c r="L347" s="63" t="s">
        <v>741</v>
      </c>
      <c r="M347" s="63"/>
      <c r="N347" s="74" t="s">
        <v>868</v>
      </c>
      <c r="O347" s="66">
        <f t="shared" ref="O347:T347" si="115">O348</f>
        <v>2817300</v>
      </c>
      <c r="P347" s="66">
        <f t="shared" si="99"/>
        <v>0</v>
      </c>
      <c r="Q347" s="99">
        <f t="shared" si="115"/>
        <v>2817300</v>
      </c>
      <c r="R347" s="99">
        <f t="shared" si="115"/>
        <v>2817300</v>
      </c>
      <c r="S347" s="66">
        <f t="shared" si="107"/>
        <v>-2817300</v>
      </c>
      <c r="T347" s="66">
        <f t="shared" si="115"/>
        <v>0</v>
      </c>
    </row>
    <row r="348" spans="1:20" ht="63" x14ac:dyDescent="0.2">
      <c r="A348" s="63" t="s">
        <v>588</v>
      </c>
      <c r="B348" s="63" t="s">
        <v>528</v>
      </c>
      <c r="C348" s="63" t="s">
        <v>741</v>
      </c>
      <c r="D348" s="63" t="s">
        <v>429</v>
      </c>
      <c r="E348" s="74" t="s">
        <v>437</v>
      </c>
      <c r="F348" s="66">
        <f>3092484-275184</f>
        <v>2817300</v>
      </c>
      <c r="G348" s="66">
        <f t="shared" si="98"/>
        <v>0</v>
      </c>
      <c r="H348" s="99">
        <f>3092484-275184</f>
        <v>2817300</v>
      </c>
      <c r="J348" s="63" t="s">
        <v>588</v>
      </c>
      <c r="K348" s="63" t="s">
        <v>528</v>
      </c>
      <c r="L348" s="63" t="s">
        <v>741</v>
      </c>
      <c r="M348" s="63" t="s">
        <v>429</v>
      </c>
      <c r="N348" s="74" t="s">
        <v>437</v>
      </c>
      <c r="O348" s="66">
        <f>3092484-275184</f>
        <v>2817300</v>
      </c>
      <c r="P348" s="66">
        <f t="shared" si="99"/>
        <v>0</v>
      </c>
      <c r="Q348" s="99">
        <f>3092484-275184</f>
        <v>2817300</v>
      </c>
      <c r="R348" s="99">
        <f>3092484-275184</f>
        <v>2817300</v>
      </c>
      <c r="S348" s="66">
        <f t="shared" si="107"/>
        <v>-2817300</v>
      </c>
      <c r="T348" s="66"/>
    </row>
    <row r="349" spans="1:20" ht="105" x14ac:dyDescent="0.2">
      <c r="A349" s="66" t="s">
        <v>588</v>
      </c>
      <c r="B349" s="66" t="s">
        <v>528</v>
      </c>
      <c r="C349" s="66" t="s">
        <v>861</v>
      </c>
      <c r="D349" s="66"/>
      <c r="E349" s="74" t="s">
        <v>748</v>
      </c>
      <c r="F349" s="66">
        <f>F350</f>
        <v>0</v>
      </c>
      <c r="G349" s="66">
        <f t="shared" si="98"/>
        <v>0</v>
      </c>
      <c r="H349" s="99">
        <f>H350</f>
        <v>0</v>
      </c>
      <c r="J349" s="66" t="s">
        <v>588</v>
      </c>
      <c r="K349" s="66" t="s">
        <v>528</v>
      </c>
      <c r="L349" s="66" t="s">
        <v>861</v>
      </c>
      <c r="M349" s="66"/>
      <c r="N349" s="74" t="s">
        <v>748</v>
      </c>
      <c r="O349" s="66">
        <f t="shared" ref="O349:T349" si="116">O350</f>
        <v>0</v>
      </c>
      <c r="P349" s="66">
        <f t="shared" si="99"/>
        <v>0</v>
      </c>
      <c r="Q349" s="99">
        <f t="shared" si="116"/>
        <v>0</v>
      </c>
      <c r="R349" s="99">
        <f t="shared" si="116"/>
        <v>0</v>
      </c>
      <c r="S349" s="66">
        <f t="shared" si="107"/>
        <v>0</v>
      </c>
      <c r="T349" s="66">
        <f t="shared" si="116"/>
        <v>0</v>
      </c>
    </row>
    <row r="350" spans="1:20" ht="63" x14ac:dyDescent="0.2">
      <c r="A350" s="66" t="s">
        <v>588</v>
      </c>
      <c r="B350" s="66" t="s">
        <v>528</v>
      </c>
      <c r="C350" s="66" t="s">
        <v>861</v>
      </c>
      <c r="D350" s="66" t="s">
        <v>429</v>
      </c>
      <c r="E350" s="74" t="s">
        <v>437</v>
      </c>
      <c r="F350" s="66">
        <v>0</v>
      </c>
      <c r="G350" s="66">
        <f t="shared" si="98"/>
        <v>0</v>
      </c>
      <c r="H350" s="99">
        <v>0</v>
      </c>
      <c r="J350" s="66" t="s">
        <v>588</v>
      </c>
      <c r="K350" s="66" t="s">
        <v>528</v>
      </c>
      <c r="L350" s="66" t="s">
        <v>861</v>
      </c>
      <c r="M350" s="66" t="s">
        <v>429</v>
      </c>
      <c r="N350" s="74" t="s">
        <v>437</v>
      </c>
      <c r="O350" s="66">
        <v>0</v>
      </c>
      <c r="P350" s="66">
        <f t="shared" si="99"/>
        <v>0</v>
      </c>
      <c r="Q350" s="99">
        <v>0</v>
      </c>
      <c r="R350" s="99">
        <v>0</v>
      </c>
      <c r="S350" s="66">
        <f t="shared" si="107"/>
        <v>0</v>
      </c>
      <c r="T350" s="66">
        <v>0</v>
      </c>
    </row>
    <row r="351" spans="1:20" ht="73.5" x14ac:dyDescent="0.2">
      <c r="A351" s="63" t="s">
        <v>588</v>
      </c>
      <c r="B351" s="63" t="s">
        <v>528</v>
      </c>
      <c r="C351" s="76" t="s">
        <v>848</v>
      </c>
      <c r="D351" s="66"/>
      <c r="E351" s="74" t="s">
        <v>849</v>
      </c>
      <c r="F351" s="66">
        <f t="shared" ref="F351:H352" si="117">F352</f>
        <v>0</v>
      </c>
      <c r="G351" s="66">
        <f t="shared" si="98"/>
        <v>0</v>
      </c>
      <c r="H351" s="99">
        <f t="shared" si="117"/>
        <v>0</v>
      </c>
      <c r="J351" s="63" t="s">
        <v>588</v>
      </c>
      <c r="K351" s="63" t="s">
        <v>528</v>
      </c>
      <c r="L351" s="76" t="s">
        <v>848</v>
      </c>
      <c r="M351" s="66"/>
      <c r="N351" s="74" t="s">
        <v>849</v>
      </c>
      <c r="O351" s="66">
        <f t="shared" ref="O351:T352" si="118">O352</f>
        <v>0</v>
      </c>
      <c r="P351" s="66">
        <f t="shared" si="99"/>
        <v>90000</v>
      </c>
      <c r="Q351" s="99">
        <f t="shared" si="118"/>
        <v>90000</v>
      </c>
      <c r="R351" s="99">
        <f t="shared" si="118"/>
        <v>90000</v>
      </c>
      <c r="S351" s="66">
        <f t="shared" si="107"/>
        <v>-90000</v>
      </c>
      <c r="T351" s="66">
        <f t="shared" si="118"/>
        <v>0</v>
      </c>
    </row>
    <row r="352" spans="1:20" ht="63" x14ac:dyDescent="0.2">
      <c r="A352" s="63" t="s">
        <v>588</v>
      </c>
      <c r="B352" s="63" t="s">
        <v>528</v>
      </c>
      <c r="C352" s="63" t="s">
        <v>850</v>
      </c>
      <c r="D352" s="63"/>
      <c r="E352" s="74" t="s">
        <v>851</v>
      </c>
      <c r="F352" s="66">
        <f t="shared" si="117"/>
        <v>0</v>
      </c>
      <c r="G352" s="66">
        <f t="shared" si="98"/>
        <v>0</v>
      </c>
      <c r="H352" s="99">
        <f t="shared" si="117"/>
        <v>0</v>
      </c>
      <c r="J352" s="63" t="s">
        <v>588</v>
      </c>
      <c r="K352" s="63" t="s">
        <v>528</v>
      </c>
      <c r="L352" s="63" t="s">
        <v>850</v>
      </c>
      <c r="M352" s="63"/>
      <c r="N352" s="74" t="s">
        <v>851</v>
      </c>
      <c r="O352" s="66">
        <f t="shared" si="118"/>
        <v>0</v>
      </c>
      <c r="P352" s="66">
        <f t="shared" si="99"/>
        <v>90000</v>
      </c>
      <c r="Q352" s="99">
        <f t="shared" si="118"/>
        <v>90000</v>
      </c>
      <c r="R352" s="99">
        <f t="shared" si="118"/>
        <v>90000</v>
      </c>
      <c r="S352" s="66">
        <f t="shared" si="107"/>
        <v>-90000</v>
      </c>
      <c r="T352" s="66">
        <f t="shared" si="118"/>
        <v>0</v>
      </c>
    </row>
    <row r="353" spans="1:20" ht="63" x14ac:dyDescent="0.2">
      <c r="A353" s="63" t="s">
        <v>588</v>
      </c>
      <c r="B353" s="63" t="s">
        <v>528</v>
      </c>
      <c r="C353" s="63" t="s">
        <v>850</v>
      </c>
      <c r="D353" s="63" t="s">
        <v>429</v>
      </c>
      <c r="E353" s="74" t="s">
        <v>437</v>
      </c>
      <c r="F353" s="66">
        <v>0</v>
      </c>
      <c r="G353" s="66">
        <f t="shared" si="98"/>
        <v>0</v>
      </c>
      <c r="H353" s="99">
        <v>0</v>
      </c>
      <c r="J353" s="63" t="s">
        <v>588</v>
      </c>
      <c r="K353" s="63" t="s">
        <v>528</v>
      </c>
      <c r="L353" s="63" t="s">
        <v>850</v>
      </c>
      <c r="M353" s="63" t="s">
        <v>429</v>
      </c>
      <c r="N353" s="74" t="s">
        <v>437</v>
      </c>
      <c r="O353" s="66">
        <v>0</v>
      </c>
      <c r="P353" s="66">
        <f t="shared" si="99"/>
        <v>90000</v>
      </c>
      <c r="Q353" s="99">
        <v>90000</v>
      </c>
      <c r="R353" s="99">
        <v>90000</v>
      </c>
      <c r="S353" s="66">
        <f t="shared" si="107"/>
        <v>-90000</v>
      </c>
      <c r="T353" s="66">
        <v>0</v>
      </c>
    </row>
    <row r="354" spans="1:20" ht="94.5" x14ac:dyDescent="0.2">
      <c r="A354" s="63" t="s">
        <v>588</v>
      </c>
      <c r="B354" s="63" t="s">
        <v>528</v>
      </c>
      <c r="C354" s="63" t="s">
        <v>869</v>
      </c>
      <c r="D354" s="63"/>
      <c r="E354" s="74" t="s">
        <v>870</v>
      </c>
      <c r="F354" s="66">
        <f>F355+F357</f>
        <v>0</v>
      </c>
      <c r="G354" s="66">
        <f t="shared" si="98"/>
        <v>0</v>
      </c>
      <c r="H354" s="99">
        <f>H355+H357</f>
        <v>0</v>
      </c>
      <c r="J354" s="63" t="s">
        <v>588</v>
      </c>
      <c r="K354" s="63" t="s">
        <v>528</v>
      </c>
      <c r="L354" s="63" t="s">
        <v>869</v>
      </c>
      <c r="M354" s="63"/>
      <c r="N354" s="74" t="s">
        <v>870</v>
      </c>
      <c r="O354" s="66">
        <f t="shared" ref="O354:T354" si="119">O355+O357</f>
        <v>0</v>
      </c>
      <c r="P354" s="66">
        <f t="shared" si="99"/>
        <v>0</v>
      </c>
      <c r="Q354" s="99">
        <f t="shared" si="119"/>
        <v>0</v>
      </c>
      <c r="R354" s="99">
        <f t="shared" si="119"/>
        <v>0</v>
      </c>
      <c r="S354" s="66">
        <f t="shared" si="107"/>
        <v>0</v>
      </c>
      <c r="T354" s="66">
        <f t="shared" si="119"/>
        <v>0</v>
      </c>
    </row>
    <row r="355" spans="1:20" ht="126" x14ac:dyDescent="0.2">
      <c r="A355" s="63" t="s">
        <v>588</v>
      </c>
      <c r="B355" s="63" t="s">
        <v>528</v>
      </c>
      <c r="C355" s="63" t="s">
        <v>754</v>
      </c>
      <c r="D355" s="63"/>
      <c r="E355" s="74" t="s">
        <v>755</v>
      </c>
      <c r="F355" s="66">
        <f>F356</f>
        <v>0</v>
      </c>
      <c r="G355" s="66">
        <f t="shared" si="98"/>
        <v>0</v>
      </c>
      <c r="H355" s="99">
        <f>H356</f>
        <v>0</v>
      </c>
      <c r="J355" s="63" t="s">
        <v>588</v>
      </c>
      <c r="K355" s="63" t="s">
        <v>528</v>
      </c>
      <c r="L355" s="63" t="s">
        <v>754</v>
      </c>
      <c r="M355" s="63"/>
      <c r="N355" s="74" t="s">
        <v>755</v>
      </c>
      <c r="O355" s="66">
        <f t="shared" ref="O355:T355" si="120">O356</f>
        <v>0</v>
      </c>
      <c r="P355" s="66">
        <f t="shared" si="99"/>
        <v>0</v>
      </c>
      <c r="Q355" s="99">
        <f t="shared" si="120"/>
        <v>0</v>
      </c>
      <c r="R355" s="99">
        <f t="shared" si="120"/>
        <v>0</v>
      </c>
      <c r="S355" s="66">
        <f t="shared" si="107"/>
        <v>0</v>
      </c>
      <c r="T355" s="66">
        <f t="shared" si="120"/>
        <v>0</v>
      </c>
    </row>
    <row r="356" spans="1:20" ht="63" x14ac:dyDescent="0.2">
      <c r="A356" s="63" t="s">
        <v>588</v>
      </c>
      <c r="B356" s="63" t="s">
        <v>528</v>
      </c>
      <c r="C356" s="63" t="s">
        <v>754</v>
      </c>
      <c r="D356" s="63" t="s">
        <v>429</v>
      </c>
      <c r="E356" s="74" t="s">
        <v>437</v>
      </c>
      <c r="F356" s="66">
        <v>0</v>
      </c>
      <c r="G356" s="66">
        <f t="shared" si="98"/>
        <v>0</v>
      </c>
      <c r="H356" s="99">
        <v>0</v>
      </c>
      <c r="J356" s="63" t="s">
        <v>588</v>
      </c>
      <c r="K356" s="63" t="s">
        <v>528</v>
      </c>
      <c r="L356" s="63" t="s">
        <v>754</v>
      </c>
      <c r="M356" s="63" t="s">
        <v>429</v>
      </c>
      <c r="N356" s="74" t="s">
        <v>437</v>
      </c>
      <c r="O356" s="66">
        <v>0</v>
      </c>
      <c r="P356" s="66">
        <f t="shared" si="99"/>
        <v>0</v>
      </c>
      <c r="Q356" s="99">
        <v>0</v>
      </c>
      <c r="R356" s="99">
        <v>0</v>
      </c>
      <c r="S356" s="66">
        <f t="shared" si="107"/>
        <v>0</v>
      </c>
      <c r="T356" s="66">
        <v>0</v>
      </c>
    </row>
    <row r="357" spans="1:20" ht="136.5" x14ac:dyDescent="0.2">
      <c r="A357" s="63" t="s">
        <v>588</v>
      </c>
      <c r="B357" s="63" t="s">
        <v>528</v>
      </c>
      <c r="C357" s="63" t="s">
        <v>756</v>
      </c>
      <c r="D357" s="63"/>
      <c r="E357" s="74" t="s">
        <v>752</v>
      </c>
      <c r="F357" s="66">
        <f>F358</f>
        <v>0</v>
      </c>
      <c r="G357" s="66">
        <f t="shared" si="98"/>
        <v>0</v>
      </c>
      <c r="H357" s="99">
        <f>H358</f>
        <v>0</v>
      </c>
      <c r="J357" s="63" t="s">
        <v>588</v>
      </c>
      <c r="K357" s="63" t="s">
        <v>528</v>
      </c>
      <c r="L357" s="63" t="s">
        <v>756</v>
      </c>
      <c r="M357" s="63"/>
      <c r="N357" s="74" t="s">
        <v>752</v>
      </c>
      <c r="O357" s="66">
        <f t="shared" ref="O357:T357" si="121">O358</f>
        <v>0</v>
      </c>
      <c r="P357" s="66">
        <f t="shared" si="99"/>
        <v>0</v>
      </c>
      <c r="Q357" s="99">
        <f t="shared" si="121"/>
        <v>0</v>
      </c>
      <c r="R357" s="99">
        <f t="shared" si="121"/>
        <v>0</v>
      </c>
      <c r="S357" s="66">
        <f t="shared" si="107"/>
        <v>0</v>
      </c>
      <c r="T357" s="66">
        <f t="shared" si="121"/>
        <v>0</v>
      </c>
    </row>
    <row r="358" spans="1:20" ht="63" x14ac:dyDescent="0.2">
      <c r="A358" s="63" t="s">
        <v>588</v>
      </c>
      <c r="B358" s="63" t="s">
        <v>528</v>
      </c>
      <c r="C358" s="63" t="s">
        <v>756</v>
      </c>
      <c r="D358" s="63" t="s">
        <v>429</v>
      </c>
      <c r="E358" s="74" t="s">
        <v>437</v>
      </c>
      <c r="F358" s="65">
        <v>0</v>
      </c>
      <c r="G358" s="66">
        <f t="shared" si="98"/>
        <v>0</v>
      </c>
      <c r="H358" s="100">
        <v>0</v>
      </c>
      <c r="J358" s="63" t="s">
        <v>588</v>
      </c>
      <c r="K358" s="63" t="s">
        <v>528</v>
      </c>
      <c r="L358" s="63" t="s">
        <v>756</v>
      </c>
      <c r="M358" s="63" t="s">
        <v>429</v>
      </c>
      <c r="N358" s="74" t="s">
        <v>437</v>
      </c>
      <c r="O358" s="65">
        <v>0</v>
      </c>
      <c r="P358" s="66">
        <f t="shared" si="99"/>
        <v>0</v>
      </c>
      <c r="Q358" s="100">
        <v>0</v>
      </c>
      <c r="R358" s="100">
        <v>0</v>
      </c>
      <c r="S358" s="66">
        <f t="shared" si="107"/>
        <v>0</v>
      </c>
      <c r="T358" s="65">
        <v>0</v>
      </c>
    </row>
    <row r="359" spans="1:20" ht="115.5" x14ac:dyDescent="0.2">
      <c r="A359" s="63" t="s">
        <v>588</v>
      </c>
      <c r="B359" s="63" t="s">
        <v>528</v>
      </c>
      <c r="C359" s="76" t="s">
        <v>843</v>
      </c>
      <c r="D359" s="66"/>
      <c r="E359" s="74" t="s">
        <v>844</v>
      </c>
      <c r="F359" s="66">
        <f t="shared" ref="F359:H360" si="122">F360</f>
        <v>0</v>
      </c>
      <c r="G359" s="66">
        <f t="shared" si="98"/>
        <v>0</v>
      </c>
      <c r="H359" s="99">
        <f t="shared" si="122"/>
        <v>0</v>
      </c>
      <c r="J359" s="63" t="s">
        <v>588</v>
      </c>
      <c r="K359" s="63" t="s">
        <v>528</v>
      </c>
      <c r="L359" s="76" t="s">
        <v>843</v>
      </c>
      <c r="M359" s="66"/>
      <c r="N359" s="74" t="s">
        <v>844</v>
      </c>
      <c r="O359" s="66">
        <f t="shared" ref="O359:T360" si="123">O360</f>
        <v>0</v>
      </c>
      <c r="P359" s="66">
        <f t="shared" si="99"/>
        <v>0</v>
      </c>
      <c r="Q359" s="99">
        <f t="shared" si="123"/>
        <v>0</v>
      </c>
      <c r="R359" s="99">
        <f t="shared" si="123"/>
        <v>0</v>
      </c>
      <c r="S359" s="66">
        <f t="shared" si="107"/>
        <v>0</v>
      </c>
      <c r="T359" s="66">
        <f t="shared" si="123"/>
        <v>0</v>
      </c>
    </row>
    <row r="360" spans="1:20" ht="105" x14ac:dyDescent="0.2">
      <c r="A360" s="63" t="s">
        <v>588</v>
      </c>
      <c r="B360" s="63" t="s">
        <v>528</v>
      </c>
      <c r="C360" s="63" t="s">
        <v>766</v>
      </c>
      <c r="D360" s="63"/>
      <c r="E360" s="74" t="s">
        <v>845</v>
      </c>
      <c r="F360" s="66">
        <f t="shared" si="122"/>
        <v>0</v>
      </c>
      <c r="G360" s="66">
        <f t="shared" si="98"/>
        <v>0</v>
      </c>
      <c r="H360" s="99">
        <f t="shared" si="122"/>
        <v>0</v>
      </c>
      <c r="J360" s="63" t="s">
        <v>588</v>
      </c>
      <c r="K360" s="63" t="s">
        <v>528</v>
      </c>
      <c r="L360" s="63" t="s">
        <v>766</v>
      </c>
      <c r="M360" s="63"/>
      <c r="N360" s="74" t="s">
        <v>845</v>
      </c>
      <c r="O360" s="66">
        <f t="shared" si="123"/>
        <v>0</v>
      </c>
      <c r="P360" s="66">
        <f t="shared" si="99"/>
        <v>0</v>
      </c>
      <c r="Q360" s="99">
        <f t="shared" si="123"/>
        <v>0</v>
      </c>
      <c r="R360" s="99">
        <f t="shared" si="123"/>
        <v>0</v>
      </c>
      <c r="S360" s="66">
        <f t="shared" si="107"/>
        <v>0</v>
      </c>
      <c r="T360" s="66">
        <f t="shared" si="123"/>
        <v>0</v>
      </c>
    </row>
    <row r="361" spans="1:20" ht="63" x14ac:dyDescent="0.2">
      <c r="A361" s="63" t="s">
        <v>588</v>
      </c>
      <c r="B361" s="63" t="s">
        <v>528</v>
      </c>
      <c r="C361" s="63" t="s">
        <v>766</v>
      </c>
      <c r="D361" s="63" t="s">
        <v>429</v>
      </c>
      <c r="E361" s="74" t="s">
        <v>437</v>
      </c>
      <c r="F361" s="66">
        <v>0</v>
      </c>
      <c r="G361" s="66">
        <f t="shared" si="98"/>
        <v>0</v>
      </c>
      <c r="H361" s="99">
        <v>0</v>
      </c>
      <c r="J361" s="63" t="s">
        <v>588</v>
      </c>
      <c r="K361" s="63" t="s">
        <v>528</v>
      </c>
      <c r="L361" s="63" t="s">
        <v>766</v>
      </c>
      <c r="M361" s="63" t="s">
        <v>429</v>
      </c>
      <c r="N361" s="74" t="s">
        <v>437</v>
      </c>
      <c r="O361" s="66">
        <v>0</v>
      </c>
      <c r="P361" s="66">
        <f t="shared" si="99"/>
        <v>0</v>
      </c>
      <c r="Q361" s="99">
        <v>0</v>
      </c>
      <c r="R361" s="99">
        <v>0</v>
      </c>
      <c r="S361" s="66">
        <f t="shared" si="107"/>
        <v>0</v>
      </c>
      <c r="T361" s="66">
        <v>0</v>
      </c>
    </row>
    <row r="362" spans="1:20" ht="31.5" x14ac:dyDescent="0.2">
      <c r="A362" s="77" t="s">
        <v>588</v>
      </c>
      <c r="B362" s="64" t="s">
        <v>90</v>
      </c>
      <c r="C362" s="64"/>
      <c r="D362" s="63"/>
      <c r="E362" s="74" t="s">
        <v>94</v>
      </c>
      <c r="F362" s="65">
        <f>F367+F364</f>
        <v>0</v>
      </c>
      <c r="G362" s="66">
        <f t="shared" si="98"/>
        <v>280000</v>
      </c>
      <c r="H362" s="100">
        <f>H367+H364</f>
        <v>280000</v>
      </c>
      <c r="J362" s="63" t="s">
        <v>588</v>
      </c>
      <c r="K362" s="63" t="s">
        <v>90</v>
      </c>
      <c r="L362" s="63"/>
      <c r="M362" s="63"/>
      <c r="N362" s="74" t="s">
        <v>94</v>
      </c>
      <c r="O362" s="65" t="e">
        <f>#REF!+O367+O364</f>
        <v>#REF!</v>
      </c>
      <c r="P362" s="66" t="e">
        <f t="shared" si="99"/>
        <v>#REF!</v>
      </c>
      <c r="Q362" s="100">
        <f>Q367+Q364</f>
        <v>280000</v>
      </c>
      <c r="R362" s="100">
        <f>R367+R364</f>
        <v>0</v>
      </c>
      <c r="S362" s="66" t="e">
        <f t="shared" si="107"/>
        <v>#REF!</v>
      </c>
      <c r="T362" s="65" t="e">
        <f>#REF!+T367+T364</f>
        <v>#REF!</v>
      </c>
    </row>
    <row r="363" spans="1:20" ht="84" x14ac:dyDescent="0.2">
      <c r="A363" s="77" t="s">
        <v>588</v>
      </c>
      <c r="B363" s="64" t="s">
        <v>90</v>
      </c>
      <c r="C363" s="64" t="s">
        <v>852</v>
      </c>
      <c r="D363" s="63"/>
      <c r="E363" s="74" t="s">
        <v>853</v>
      </c>
      <c r="F363" s="65">
        <f t="shared" ref="F363:H364" si="124">F364</f>
        <v>0</v>
      </c>
      <c r="G363" s="66">
        <f t="shared" si="98"/>
        <v>80000</v>
      </c>
      <c r="H363" s="100">
        <f t="shared" si="124"/>
        <v>80000</v>
      </c>
      <c r="J363" s="63" t="s">
        <v>588</v>
      </c>
      <c r="K363" s="63" t="s">
        <v>90</v>
      </c>
      <c r="L363" s="63" t="s">
        <v>852</v>
      </c>
      <c r="M363" s="63"/>
      <c r="N363" s="74" t="s">
        <v>853</v>
      </c>
      <c r="O363" s="65">
        <f t="shared" ref="O363:T364" si="125">O364</f>
        <v>0</v>
      </c>
      <c r="P363" s="66">
        <f t="shared" si="99"/>
        <v>80000</v>
      </c>
      <c r="Q363" s="100">
        <f t="shared" si="125"/>
        <v>80000</v>
      </c>
      <c r="R363" s="100">
        <f t="shared" si="125"/>
        <v>0</v>
      </c>
      <c r="S363" s="66">
        <f t="shared" si="107"/>
        <v>0</v>
      </c>
      <c r="T363" s="65">
        <f t="shared" si="125"/>
        <v>0</v>
      </c>
    </row>
    <row r="364" spans="1:20" ht="105" x14ac:dyDescent="0.2">
      <c r="A364" s="77" t="s">
        <v>588</v>
      </c>
      <c r="B364" s="64" t="s">
        <v>90</v>
      </c>
      <c r="C364" s="64" t="s">
        <v>747</v>
      </c>
      <c r="D364" s="63"/>
      <c r="E364" s="74" t="s">
        <v>871</v>
      </c>
      <c r="F364" s="65">
        <f t="shared" si="124"/>
        <v>0</v>
      </c>
      <c r="G364" s="66">
        <f t="shared" si="98"/>
        <v>80000</v>
      </c>
      <c r="H364" s="100">
        <f t="shared" si="124"/>
        <v>80000</v>
      </c>
      <c r="J364" s="63" t="s">
        <v>588</v>
      </c>
      <c r="K364" s="63" t="s">
        <v>90</v>
      </c>
      <c r="L364" s="63" t="s">
        <v>747</v>
      </c>
      <c r="M364" s="63"/>
      <c r="N364" s="74" t="s">
        <v>871</v>
      </c>
      <c r="O364" s="65">
        <f t="shared" si="125"/>
        <v>0</v>
      </c>
      <c r="P364" s="66">
        <f t="shared" si="99"/>
        <v>80000</v>
      </c>
      <c r="Q364" s="100">
        <f t="shared" si="125"/>
        <v>80000</v>
      </c>
      <c r="R364" s="100">
        <f t="shared" si="125"/>
        <v>0</v>
      </c>
      <c r="S364" s="66">
        <f t="shared" si="107"/>
        <v>0</v>
      </c>
      <c r="T364" s="65">
        <f t="shared" si="125"/>
        <v>0</v>
      </c>
    </row>
    <row r="365" spans="1:20" ht="63" x14ac:dyDescent="0.2">
      <c r="A365" s="77" t="s">
        <v>588</v>
      </c>
      <c r="B365" s="64" t="s">
        <v>90</v>
      </c>
      <c r="C365" s="64" t="s">
        <v>747</v>
      </c>
      <c r="D365" s="63" t="s">
        <v>429</v>
      </c>
      <c r="E365" s="74" t="s">
        <v>437</v>
      </c>
      <c r="F365" s="65">
        <v>0</v>
      </c>
      <c r="G365" s="66">
        <f t="shared" si="98"/>
        <v>80000</v>
      </c>
      <c r="H365" s="100">
        <v>80000</v>
      </c>
      <c r="J365" s="63" t="s">
        <v>588</v>
      </c>
      <c r="K365" s="63" t="s">
        <v>90</v>
      </c>
      <c r="L365" s="63" t="s">
        <v>747</v>
      </c>
      <c r="M365" s="63" t="s">
        <v>429</v>
      </c>
      <c r="N365" s="74" t="s">
        <v>437</v>
      </c>
      <c r="O365" s="65">
        <v>0</v>
      </c>
      <c r="P365" s="66">
        <f t="shared" si="99"/>
        <v>80000</v>
      </c>
      <c r="Q365" s="100">
        <v>80000</v>
      </c>
      <c r="R365" s="100">
        <v>0</v>
      </c>
      <c r="S365" s="66">
        <f t="shared" si="107"/>
        <v>0</v>
      </c>
      <c r="T365" s="65">
        <v>0</v>
      </c>
    </row>
    <row r="366" spans="1:20" ht="84" x14ac:dyDescent="0.2">
      <c r="A366" s="77" t="s">
        <v>588</v>
      </c>
      <c r="B366" s="64" t="s">
        <v>90</v>
      </c>
      <c r="C366" s="64" t="s">
        <v>862</v>
      </c>
      <c r="D366" s="63"/>
      <c r="E366" s="74" t="s">
        <v>863</v>
      </c>
      <c r="F366" s="65">
        <f t="shared" ref="F366:H367" si="126">F367</f>
        <v>0</v>
      </c>
      <c r="G366" s="66">
        <f t="shared" ref="G366:G396" si="127">H366-F366</f>
        <v>200000</v>
      </c>
      <c r="H366" s="100">
        <f t="shared" si="126"/>
        <v>200000</v>
      </c>
      <c r="J366" s="63" t="s">
        <v>588</v>
      </c>
      <c r="K366" s="63" t="s">
        <v>90</v>
      </c>
      <c r="L366" s="63" t="s">
        <v>862</v>
      </c>
      <c r="M366" s="63"/>
      <c r="N366" s="74" t="s">
        <v>863</v>
      </c>
      <c r="O366" s="65">
        <f t="shared" ref="O366:T367" si="128">O367</f>
        <v>0</v>
      </c>
      <c r="P366" s="66">
        <f t="shared" ref="P366:P396" si="129">Q366-O366</f>
        <v>200000</v>
      </c>
      <c r="Q366" s="100">
        <f t="shared" si="128"/>
        <v>200000</v>
      </c>
      <c r="R366" s="100">
        <f t="shared" si="128"/>
        <v>0</v>
      </c>
      <c r="S366" s="66">
        <f t="shared" si="107"/>
        <v>0</v>
      </c>
      <c r="T366" s="65">
        <f t="shared" si="128"/>
        <v>0</v>
      </c>
    </row>
    <row r="367" spans="1:20" ht="136.5" x14ac:dyDescent="0.2">
      <c r="A367" s="77" t="s">
        <v>588</v>
      </c>
      <c r="B367" s="64" t="s">
        <v>90</v>
      </c>
      <c r="C367" s="64" t="s">
        <v>751</v>
      </c>
      <c r="D367" s="63"/>
      <c r="E367" s="74" t="s">
        <v>872</v>
      </c>
      <c r="F367" s="65">
        <f t="shared" si="126"/>
        <v>0</v>
      </c>
      <c r="G367" s="66">
        <f t="shared" si="127"/>
        <v>200000</v>
      </c>
      <c r="H367" s="100">
        <f t="shared" si="126"/>
        <v>200000</v>
      </c>
      <c r="J367" s="63" t="s">
        <v>588</v>
      </c>
      <c r="K367" s="63" t="s">
        <v>90</v>
      </c>
      <c r="L367" s="63" t="s">
        <v>751</v>
      </c>
      <c r="M367" s="63"/>
      <c r="N367" s="74" t="s">
        <v>872</v>
      </c>
      <c r="O367" s="65">
        <f t="shared" si="128"/>
        <v>0</v>
      </c>
      <c r="P367" s="66">
        <f t="shared" si="129"/>
        <v>200000</v>
      </c>
      <c r="Q367" s="100">
        <f t="shared" si="128"/>
        <v>200000</v>
      </c>
      <c r="R367" s="100">
        <f t="shared" si="128"/>
        <v>0</v>
      </c>
      <c r="S367" s="66">
        <f t="shared" si="107"/>
        <v>0</v>
      </c>
      <c r="T367" s="65">
        <f t="shared" si="128"/>
        <v>0</v>
      </c>
    </row>
    <row r="368" spans="1:20" ht="63" x14ac:dyDescent="0.2">
      <c r="A368" s="77" t="s">
        <v>588</v>
      </c>
      <c r="B368" s="64" t="s">
        <v>90</v>
      </c>
      <c r="C368" s="64" t="s">
        <v>751</v>
      </c>
      <c r="D368" s="63" t="s">
        <v>429</v>
      </c>
      <c r="E368" s="74" t="s">
        <v>437</v>
      </c>
      <c r="F368" s="65">
        <v>0</v>
      </c>
      <c r="G368" s="66">
        <f t="shared" si="127"/>
        <v>200000</v>
      </c>
      <c r="H368" s="100">
        <v>200000</v>
      </c>
      <c r="J368" s="63" t="s">
        <v>588</v>
      </c>
      <c r="K368" s="63" t="s">
        <v>90</v>
      </c>
      <c r="L368" s="63" t="s">
        <v>751</v>
      </c>
      <c r="M368" s="63" t="s">
        <v>429</v>
      </c>
      <c r="N368" s="74" t="s">
        <v>437</v>
      </c>
      <c r="O368" s="65">
        <v>0</v>
      </c>
      <c r="P368" s="66">
        <f t="shared" si="129"/>
        <v>200000</v>
      </c>
      <c r="Q368" s="100">
        <v>200000</v>
      </c>
      <c r="R368" s="100">
        <v>0</v>
      </c>
      <c r="S368" s="66">
        <f t="shared" si="107"/>
        <v>0</v>
      </c>
      <c r="T368" s="65">
        <v>0</v>
      </c>
    </row>
    <row r="369" spans="1:20" ht="21" x14ac:dyDescent="0.2">
      <c r="A369" s="77" t="s">
        <v>588</v>
      </c>
      <c r="B369" s="64" t="s">
        <v>601</v>
      </c>
      <c r="C369" s="64"/>
      <c r="D369" s="63"/>
      <c r="E369" s="74" t="s">
        <v>602</v>
      </c>
      <c r="F369" s="65">
        <f>F375+F371+F373</f>
        <v>3185400</v>
      </c>
      <c r="G369" s="66">
        <f t="shared" si="127"/>
        <v>-114700</v>
      </c>
      <c r="H369" s="100">
        <f>H375+H371+H373</f>
        <v>3070700</v>
      </c>
      <c r="J369" s="63" t="s">
        <v>588</v>
      </c>
      <c r="K369" s="63" t="s">
        <v>601</v>
      </c>
      <c r="L369" s="63"/>
      <c r="M369" s="63"/>
      <c r="N369" s="74" t="s">
        <v>602</v>
      </c>
      <c r="O369" s="65" t="e">
        <f>#REF!+O375+O371+O373</f>
        <v>#REF!</v>
      </c>
      <c r="P369" s="66" t="e">
        <f t="shared" si="129"/>
        <v>#REF!</v>
      </c>
      <c r="Q369" s="100">
        <f>Q375+Q371+Q373</f>
        <v>3070700</v>
      </c>
      <c r="R369" s="100">
        <f>R375+R371+R373</f>
        <v>3020700</v>
      </c>
      <c r="S369" s="66" t="e">
        <f t="shared" si="107"/>
        <v>#REF!</v>
      </c>
      <c r="T369" s="65" t="e">
        <f>#REF!+T375+T371+T373</f>
        <v>#REF!</v>
      </c>
    </row>
    <row r="370" spans="1:20" ht="73.5" x14ac:dyDescent="0.2">
      <c r="A370" s="77" t="s">
        <v>588</v>
      </c>
      <c r="B370" s="64" t="s">
        <v>601</v>
      </c>
      <c r="C370" s="64" t="s">
        <v>848</v>
      </c>
      <c r="D370" s="63"/>
      <c r="E370" s="74" t="s">
        <v>849</v>
      </c>
      <c r="F370" s="65">
        <f>F371+F373</f>
        <v>1046700</v>
      </c>
      <c r="G370" s="66">
        <f t="shared" si="127"/>
        <v>-50000</v>
      </c>
      <c r="H370" s="100">
        <f>H371+H373</f>
        <v>996700</v>
      </c>
      <c r="J370" s="63" t="s">
        <v>588</v>
      </c>
      <c r="K370" s="63" t="s">
        <v>601</v>
      </c>
      <c r="L370" s="63" t="s">
        <v>848</v>
      </c>
      <c r="M370" s="63"/>
      <c r="N370" s="74" t="s">
        <v>849</v>
      </c>
      <c r="O370" s="65">
        <f t="shared" ref="O370:T370" si="130">O371+O373</f>
        <v>1046700</v>
      </c>
      <c r="P370" s="66">
        <f t="shared" si="129"/>
        <v>-50000</v>
      </c>
      <c r="Q370" s="100">
        <f t="shared" si="130"/>
        <v>996700</v>
      </c>
      <c r="R370" s="100">
        <f t="shared" si="130"/>
        <v>946700</v>
      </c>
      <c r="S370" s="66">
        <f t="shared" si="107"/>
        <v>-946700</v>
      </c>
      <c r="T370" s="65">
        <f t="shared" si="130"/>
        <v>0</v>
      </c>
    </row>
    <row r="371" spans="1:20" ht="84" x14ac:dyDescent="0.2">
      <c r="A371" s="77" t="s">
        <v>588</v>
      </c>
      <c r="B371" s="64" t="s">
        <v>601</v>
      </c>
      <c r="C371" s="64" t="s">
        <v>873</v>
      </c>
      <c r="D371" s="63"/>
      <c r="E371" s="74" t="s">
        <v>874</v>
      </c>
      <c r="F371" s="65">
        <f>F372</f>
        <v>100000</v>
      </c>
      <c r="G371" s="66">
        <f t="shared" si="127"/>
        <v>-50000</v>
      </c>
      <c r="H371" s="100">
        <f>H372</f>
        <v>50000</v>
      </c>
      <c r="J371" s="63" t="s">
        <v>588</v>
      </c>
      <c r="K371" s="63" t="s">
        <v>601</v>
      </c>
      <c r="L371" s="63" t="s">
        <v>873</v>
      </c>
      <c r="M371" s="63"/>
      <c r="N371" s="74" t="s">
        <v>874</v>
      </c>
      <c r="O371" s="65">
        <f t="shared" ref="O371:T371" si="131">O372</f>
        <v>100000</v>
      </c>
      <c r="P371" s="66">
        <f t="shared" si="129"/>
        <v>-50000</v>
      </c>
      <c r="Q371" s="100">
        <f t="shared" si="131"/>
        <v>50000</v>
      </c>
      <c r="R371" s="100">
        <f t="shared" si="131"/>
        <v>0</v>
      </c>
      <c r="S371" s="66">
        <f t="shared" si="107"/>
        <v>0</v>
      </c>
      <c r="T371" s="65">
        <f t="shared" si="131"/>
        <v>0</v>
      </c>
    </row>
    <row r="372" spans="1:20" ht="31.5" x14ac:dyDescent="0.2">
      <c r="A372" s="77" t="s">
        <v>588</v>
      </c>
      <c r="B372" s="64" t="s">
        <v>601</v>
      </c>
      <c r="C372" s="64" t="s">
        <v>873</v>
      </c>
      <c r="D372" s="63" t="s">
        <v>423</v>
      </c>
      <c r="E372" s="74" t="s">
        <v>434</v>
      </c>
      <c r="F372" s="65">
        <v>100000</v>
      </c>
      <c r="G372" s="66">
        <f t="shared" si="127"/>
        <v>-50000</v>
      </c>
      <c r="H372" s="100">
        <v>50000</v>
      </c>
      <c r="J372" s="63" t="s">
        <v>588</v>
      </c>
      <c r="K372" s="63" t="s">
        <v>601</v>
      </c>
      <c r="L372" s="63" t="s">
        <v>873</v>
      </c>
      <c r="M372" s="63" t="s">
        <v>423</v>
      </c>
      <c r="N372" s="74" t="s">
        <v>434</v>
      </c>
      <c r="O372" s="65">
        <v>100000</v>
      </c>
      <c r="P372" s="66">
        <f t="shared" si="129"/>
        <v>-50000</v>
      </c>
      <c r="Q372" s="100">
        <v>50000</v>
      </c>
      <c r="R372" s="100"/>
      <c r="S372" s="66">
        <f t="shared" si="107"/>
        <v>0</v>
      </c>
      <c r="T372" s="65"/>
    </row>
    <row r="373" spans="1:20" ht="94.5" x14ac:dyDescent="0.2">
      <c r="A373" s="77" t="s">
        <v>588</v>
      </c>
      <c r="B373" s="64" t="s">
        <v>601</v>
      </c>
      <c r="C373" s="64" t="s">
        <v>875</v>
      </c>
      <c r="D373" s="63"/>
      <c r="E373" s="74" t="s">
        <v>876</v>
      </c>
      <c r="F373" s="65">
        <f>F374</f>
        <v>946700</v>
      </c>
      <c r="G373" s="66">
        <f t="shared" si="127"/>
        <v>0</v>
      </c>
      <c r="H373" s="100">
        <f>H374</f>
        <v>946700</v>
      </c>
      <c r="J373" s="63" t="s">
        <v>588</v>
      </c>
      <c r="K373" s="63" t="s">
        <v>601</v>
      </c>
      <c r="L373" s="63" t="s">
        <v>875</v>
      </c>
      <c r="M373" s="63"/>
      <c r="N373" s="74" t="s">
        <v>876</v>
      </c>
      <c r="O373" s="65">
        <f t="shared" ref="O373:T373" si="132">O374</f>
        <v>946700</v>
      </c>
      <c r="P373" s="66">
        <f t="shared" si="129"/>
        <v>0</v>
      </c>
      <c r="Q373" s="100">
        <f t="shared" si="132"/>
        <v>946700</v>
      </c>
      <c r="R373" s="100">
        <f t="shared" si="132"/>
        <v>946700</v>
      </c>
      <c r="S373" s="66">
        <f t="shared" si="107"/>
        <v>-946700</v>
      </c>
      <c r="T373" s="65">
        <f t="shared" si="132"/>
        <v>0</v>
      </c>
    </row>
    <row r="374" spans="1:20" ht="21" x14ac:dyDescent="0.2">
      <c r="A374" s="77" t="s">
        <v>588</v>
      </c>
      <c r="B374" s="64" t="s">
        <v>601</v>
      </c>
      <c r="C374" s="64" t="s">
        <v>875</v>
      </c>
      <c r="D374" s="63" t="s">
        <v>424</v>
      </c>
      <c r="E374" s="74" t="s">
        <v>431</v>
      </c>
      <c r="F374" s="65">
        <v>946700</v>
      </c>
      <c r="G374" s="66">
        <f t="shared" si="127"/>
        <v>0</v>
      </c>
      <c r="H374" s="100">
        <f>727100+219600</f>
        <v>946700</v>
      </c>
      <c r="J374" s="63" t="s">
        <v>588</v>
      </c>
      <c r="K374" s="63" t="s">
        <v>601</v>
      </c>
      <c r="L374" s="63" t="s">
        <v>875</v>
      </c>
      <c r="M374" s="63" t="s">
        <v>424</v>
      </c>
      <c r="N374" s="74" t="s">
        <v>431</v>
      </c>
      <c r="O374" s="65">
        <v>946700</v>
      </c>
      <c r="P374" s="66">
        <f t="shared" si="129"/>
        <v>0</v>
      </c>
      <c r="Q374" s="100">
        <f>727100+219600</f>
        <v>946700</v>
      </c>
      <c r="R374" s="100">
        <f>727100+219600</f>
        <v>946700</v>
      </c>
      <c r="S374" s="66">
        <f t="shared" si="107"/>
        <v>-946700</v>
      </c>
      <c r="T374" s="65"/>
    </row>
    <row r="375" spans="1:20" ht="84" x14ac:dyDescent="0.2">
      <c r="A375" s="77" t="s">
        <v>588</v>
      </c>
      <c r="B375" s="64" t="s">
        <v>601</v>
      </c>
      <c r="C375" s="64" t="s">
        <v>757</v>
      </c>
      <c r="D375" s="63"/>
      <c r="E375" s="74" t="s">
        <v>758</v>
      </c>
      <c r="F375" s="65">
        <f>F377</f>
        <v>2138700</v>
      </c>
      <c r="G375" s="66">
        <f t="shared" si="127"/>
        <v>-64700</v>
      </c>
      <c r="H375" s="100">
        <f>H377+H376</f>
        <v>2074000</v>
      </c>
      <c r="J375" s="63" t="s">
        <v>588</v>
      </c>
      <c r="K375" s="63" t="s">
        <v>601</v>
      </c>
      <c r="L375" s="63" t="s">
        <v>757</v>
      </c>
      <c r="M375" s="63"/>
      <c r="N375" s="74" t="s">
        <v>758</v>
      </c>
      <c r="O375" s="65">
        <f>O377</f>
        <v>2138700</v>
      </c>
      <c r="P375" s="66">
        <f t="shared" si="129"/>
        <v>-64700</v>
      </c>
      <c r="Q375" s="100">
        <f>Q377+Q376</f>
        <v>2074000</v>
      </c>
      <c r="R375" s="100">
        <f>R377+R376</f>
        <v>2074000</v>
      </c>
      <c r="S375" s="66">
        <f t="shared" si="107"/>
        <v>-2074000</v>
      </c>
      <c r="T375" s="65">
        <f>T377</f>
        <v>0</v>
      </c>
    </row>
    <row r="376" spans="1:20" ht="42" x14ac:dyDescent="0.2">
      <c r="A376" s="77" t="s">
        <v>588</v>
      </c>
      <c r="B376" s="64" t="s">
        <v>601</v>
      </c>
      <c r="C376" s="64" t="s">
        <v>757</v>
      </c>
      <c r="D376" s="63" t="s">
        <v>996</v>
      </c>
      <c r="E376" s="74" t="s">
        <v>997</v>
      </c>
      <c r="F376" s="65"/>
      <c r="G376" s="66"/>
      <c r="H376" s="100">
        <v>648000</v>
      </c>
      <c r="J376" s="77" t="s">
        <v>588</v>
      </c>
      <c r="K376" s="64" t="s">
        <v>601</v>
      </c>
      <c r="L376" s="64" t="s">
        <v>757</v>
      </c>
      <c r="M376" s="63" t="s">
        <v>996</v>
      </c>
      <c r="N376" s="74" t="s">
        <v>997</v>
      </c>
      <c r="O376" s="65"/>
      <c r="P376" s="66"/>
      <c r="Q376" s="100">
        <v>648000</v>
      </c>
      <c r="R376" s="100">
        <v>648000</v>
      </c>
      <c r="S376" s="66"/>
      <c r="T376" s="65"/>
    </row>
    <row r="377" spans="1:20" ht="31.5" x14ac:dyDescent="0.2">
      <c r="A377" s="77" t="s">
        <v>588</v>
      </c>
      <c r="B377" s="64" t="s">
        <v>601</v>
      </c>
      <c r="C377" s="64" t="s">
        <v>757</v>
      </c>
      <c r="D377" s="63" t="s">
        <v>331</v>
      </c>
      <c r="E377" s="74" t="s">
        <v>434</v>
      </c>
      <c r="F377" s="65">
        <v>2138700</v>
      </c>
      <c r="G377" s="66">
        <f t="shared" si="127"/>
        <v>-712700</v>
      </c>
      <c r="H377" s="100">
        <v>1426000</v>
      </c>
      <c r="J377" s="63" t="s">
        <v>588</v>
      </c>
      <c r="K377" s="63" t="s">
        <v>601</v>
      </c>
      <c r="L377" s="63" t="s">
        <v>757</v>
      </c>
      <c r="M377" s="63" t="s">
        <v>331</v>
      </c>
      <c r="N377" s="74" t="s">
        <v>434</v>
      </c>
      <c r="O377" s="65">
        <v>2138700</v>
      </c>
      <c r="P377" s="66">
        <f t="shared" si="129"/>
        <v>-712700</v>
      </c>
      <c r="Q377" s="100">
        <v>1426000</v>
      </c>
      <c r="R377" s="100">
        <v>1426000</v>
      </c>
      <c r="S377" s="66">
        <f t="shared" ref="S377:S440" si="133">T377-R377</f>
        <v>-1426000</v>
      </c>
      <c r="T377" s="65"/>
    </row>
    <row r="378" spans="1:20" ht="21" x14ac:dyDescent="0.2">
      <c r="A378" s="63" t="s">
        <v>588</v>
      </c>
      <c r="B378" s="63" t="s">
        <v>603</v>
      </c>
      <c r="C378" s="63"/>
      <c r="D378" s="63"/>
      <c r="E378" s="74" t="s">
        <v>604</v>
      </c>
      <c r="F378" s="66" t="e">
        <f>F380+F382+F389+F391</f>
        <v>#REF!</v>
      </c>
      <c r="G378" s="66" t="e">
        <f t="shared" si="127"/>
        <v>#REF!</v>
      </c>
      <c r="H378" s="99">
        <f>H380+H382+H389+H391</f>
        <v>16053630</v>
      </c>
      <c r="I378" s="84"/>
      <c r="J378" s="63" t="s">
        <v>588</v>
      </c>
      <c r="K378" s="63" t="s">
        <v>603</v>
      </c>
      <c r="L378" s="63"/>
      <c r="M378" s="63"/>
      <c r="N378" s="74" t="s">
        <v>604</v>
      </c>
      <c r="O378" s="66" t="e">
        <f>#REF!+O380+O382+O389+O391+#REF!+#REF!+#REF!+#REF!+#REF!</f>
        <v>#REF!</v>
      </c>
      <c r="P378" s="66" t="e">
        <f t="shared" si="129"/>
        <v>#REF!</v>
      </c>
      <c r="Q378" s="99">
        <f>Q380+Q382+Q389+Q391</f>
        <v>16737440</v>
      </c>
      <c r="R378" s="99">
        <f>R380+R382+R389+R391</f>
        <v>14539940</v>
      </c>
      <c r="S378" s="66" t="e">
        <f t="shared" si="133"/>
        <v>#REF!</v>
      </c>
      <c r="T378" s="66" t="e">
        <f>#REF!+T380+T382+T389+T391+#REF!+#REF!+#REF!+#REF!+#REF!</f>
        <v>#REF!</v>
      </c>
    </row>
    <row r="379" spans="1:20" ht="84" x14ac:dyDescent="0.2">
      <c r="A379" s="63" t="s">
        <v>588</v>
      </c>
      <c r="B379" s="63" t="s">
        <v>603</v>
      </c>
      <c r="C379" s="63" t="s">
        <v>877</v>
      </c>
      <c r="D379" s="63"/>
      <c r="E379" s="74" t="s">
        <v>878</v>
      </c>
      <c r="F379" s="65" t="e">
        <f>F380+F382+F389</f>
        <v>#REF!</v>
      </c>
      <c r="G379" s="66" t="e">
        <f t="shared" si="127"/>
        <v>#REF!</v>
      </c>
      <c r="H379" s="100">
        <f>H380+H382+H389</f>
        <v>16053630</v>
      </c>
      <c r="I379" s="84"/>
      <c r="J379" s="63" t="s">
        <v>588</v>
      </c>
      <c r="K379" s="63" t="s">
        <v>603</v>
      </c>
      <c r="L379" s="63" t="s">
        <v>877</v>
      </c>
      <c r="M379" s="63"/>
      <c r="N379" s="74" t="s">
        <v>878</v>
      </c>
      <c r="O379" s="65" t="e">
        <f t="shared" ref="O379:T379" si="134">O380+O382+O389</f>
        <v>#REF!</v>
      </c>
      <c r="P379" s="66" t="e">
        <f t="shared" si="129"/>
        <v>#REF!</v>
      </c>
      <c r="Q379" s="100">
        <f t="shared" si="134"/>
        <v>16737440</v>
      </c>
      <c r="R379" s="100">
        <f t="shared" si="134"/>
        <v>14539940</v>
      </c>
      <c r="S379" s="66" t="e">
        <f t="shared" si="133"/>
        <v>#REF!</v>
      </c>
      <c r="T379" s="65" t="e">
        <f t="shared" si="134"/>
        <v>#REF!</v>
      </c>
    </row>
    <row r="380" spans="1:20" ht="84" x14ac:dyDescent="0.2">
      <c r="A380" s="63" t="s">
        <v>588</v>
      </c>
      <c r="B380" s="63" t="s">
        <v>603</v>
      </c>
      <c r="C380" s="63" t="s">
        <v>919</v>
      </c>
      <c r="D380" s="63"/>
      <c r="E380" s="74" t="s">
        <v>879</v>
      </c>
      <c r="F380" s="65">
        <f>F381</f>
        <v>580030</v>
      </c>
      <c r="G380" s="66">
        <f t="shared" si="127"/>
        <v>0</v>
      </c>
      <c r="H380" s="100">
        <f>H381</f>
        <v>580030</v>
      </c>
      <c r="I380" s="84"/>
      <c r="J380" s="63" t="s">
        <v>588</v>
      </c>
      <c r="K380" s="63" t="s">
        <v>603</v>
      </c>
      <c r="L380" s="63" t="s">
        <v>919</v>
      </c>
      <c r="M380" s="63"/>
      <c r="N380" s="74" t="s">
        <v>879</v>
      </c>
      <c r="O380" s="65">
        <f>O381</f>
        <v>580030</v>
      </c>
      <c r="P380" s="66">
        <f t="shared" si="129"/>
        <v>0</v>
      </c>
      <c r="Q380" s="100">
        <f>Q381</f>
        <v>580030</v>
      </c>
      <c r="R380" s="100">
        <f>R381</f>
        <v>580030</v>
      </c>
      <c r="S380" s="66">
        <f t="shared" si="133"/>
        <v>-580030</v>
      </c>
      <c r="T380" s="65">
        <f>T381</f>
        <v>0</v>
      </c>
    </row>
    <row r="381" spans="1:20" ht="21" x14ac:dyDescent="0.2">
      <c r="A381" s="63" t="s">
        <v>588</v>
      </c>
      <c r="B381" s="63" t="s">
        <v>603</v>
      </c>
      <c r="C381" s="63" t="s">
        <v>919</v>
      </c>
      <c r="D381" s="63" t="s">
        <v>424</v>
      </c>
      <c r="E381" s="74" t="s">
        <v>431</v>
      </c>
      <c r="F381" s="65">
        <f>445490+134540</f>
        <v>580030</v>
      </c>
      <c r="G381" s="66">
        <f t="shared" si="127"/>
        <v>0</v>
      </c>
      <c r="H381" s="100">
        <f>445490+134540</f>
        <v>580030</v>
      </c>
      <c r="I381" s="84"/>
      <c r="J381" s="63" t="s">
        <v>588</v>
      </c>
      <c r="K381" s="63" t="s">
        <v>603</v>
      </c>
      <c r="L381" s="63" t="s">
        <v>919</v>
      </c>
      <c r="M381" s="63" t="s">
        <v>424</v>
      </c>
      <c r="N381" s="74" t="s">
        <v>431</v>
      </c>
      <c r="O381" s="65">
        <f>445490+134540</f>
        <v>580030</v>
      </c>
      <c r="P381" s="66">
        <f t="shared" si="129"/>
        <v>0</v>
      </c>
      <c r="Q381" s="100">
        <f>445490+134540</f>
        <v>580030</v>
      </c>
      <c r="R381" s="100">
        <f>445490+134540</f>
        <v>580030</v>
      </c>
      <c r="S381" s="66">
        <f t="shared" si="133"/>
        <v>-580030</v>
      </c>
      <c r="T381" s="65"/>
    </row>
    <row r="382" spans="1:20" ht="105" x14ac:dyDescent="0.2">
      <c r="A382" s="63" t="s">
        <v>588</v>
      </c>
      <c r="B382" s="63" t="s">
        <v>603</v>
      </c>
      <c r="C382" s="63" t="s">
        <v>760</v>
      </c>
      <c r="D382" s="63"/>
      <c r="E382" s="74" t="s">
        <v>761</v>
      </c>
      <c r="F382" s="65">
        <f>F383</f>
        <v>10443300</v>
      </c>
      <c r="G382" s="66">
        <f t="shared" si="127"/>
        <v>3656700</v>
      </c>
      <c r="H382" s="100">
        <f>H383+H384+H385+H386+H387+H388</f>
        <v>14100000</v>
      </c>
      <c r="I382" s="84"/>
      <c r="J382" s="63" t="s">
        <v>588</v>
      </c>
      <c r="K382" s="63" t="s">
        <v>603</v>
      </c>
      <c r="L382" s="63" t="s">
        <v>760</v>
      </c>
      <c r="M382" s="63"/>
      <c r="N382" s="74" t="s">
        <v>761</v>
      </c>
      <c r="O382" s="65">
        <f>O383</f>
        <v>10443300</v>
      </c>
      <c r="P382" s="66">
        <f t="shared" si="129"/>
        <v>4340510</v>
      </c>
      <c r="Q382" s="100">
        <f>Q383+Q384+Q385+Q386+Q387+Q388</f>
        <v>14783810</v>
      </c>
      <c r="R382" s="100">
        <f>R383+R384+R385+R386+R387+R388</f>
        <v>12586310</v>
      </c>
      <c r="S382" s="66">
        <f t="shared" si="133"/>
        <v>-12586310</v>
      </c>
      <c r="T382" s="65">
        <f>T383</f>
        <v>0</v>
      </c>
    </row>
    <row r="383" spans="1:20" ht="21" x14ac:dyDescent="0.2">
      <c r="A383" s="63" t="s">
        <v>588</v>
      </c>
      <c r="B383" s="63" t="s">
        <v>603</v>
      </c>
      <c r="C383" s="63" t="s">
        <v>760</v>
      </c>
      <c r="D383" s="63" t="s">
        <v>424</v>
      </c>
      <c r="E383" s="74" t="s">
        <v>431</v>
      </c>
      <c r="F383" s="65">
        <f>11390000-946700</f>
        <v>10443300</v>
      </c>
      <c r="G383" s="66">
        <f t="shared" si="127"/>
        <v>-10</v>
      </c>
      <c r="H383" s="100">
        <f>8020960+2422330</f>
        <v>10443290</v>
      </c>
      <c r="I383" s="84"/>
      <c r="J383" s="63" t="s">
        <v>588</v>
      </c>
      <c r="K383" s="63" t="s">
        <v>603</v>
      </c>
      <c r="L383" s="63" t="s">
        <v>760</v>
      </c>
      <c r="M383" s="63" t="s">
        <v>424</v>
      </c>
      <c r="N383" s="74" t="s">
        <v>431</v>
      </c>
      <c r="O383" s="65">
        <f>11390000-946700</f>
        <v>10443300</v>
      </c>
      <c r="P383" s="66">
        <f t="shared" si="129"/>
        <v>-10</v>
      </c>
      <c r="Q383" s="100">
        <f>8020960+2422330</f>
        <v>10443290</v>
      </c>
      <c r="R383" s="100">
        <f>8020960+2422330</f>
        <v>10443290</v>
      </c>
      <c r="S383" s="66">
        <f t="shared" si="133"/>
        <v>-10443290</v>
      </c>
      <c r="T383" s="65"/>
    </row>
    <row r="384" spans="1:20" ht="31.5" x14ac:dyDescent="0.2">
      <c r="A384" s="63" t="s">
        <v>588</v>
      </c>
      <c r="B384" s="63" t="s">
        <v>603</v>
      </c>
      <c r="C384" s="63" t="s">
        <v>760</v>
      </c>
      <c r="D384" s="63" t="s">
        <v>425</v>
      </c>
      <c r="E384" s="74" t="s">
        <v>432</v>
      </c>
      <c r="F384" s="65">
        <v>0</v>
      </c>
      <c r="G384" s="66">
        <f t="shared" si="127"/>
        <v>249690</v>
      </c>
      <c r="H384" s="100">
        <f>70000+30000+149690</f>
        <v>249690</v>
      </c>
      <c r="I384" s="84"/>
      <c r="J384" s="63" t="s">
        <v>588</v>
      </c>
      <c r="K384" s="63" t="s">
        <v>603</v>
      </c>
      <c r="L384" s="63" t="s">
        <v>760</v>
      </c>
      <c r="M384" s="63" t="s">
        <v>425</v>
      </c>
      <c r="N384" s="74" t="s">
        <v>432</v>
      </c>
      <c r="O384" s="65">
        <v>0</v>
      </c>
      <c r="P384" s="66">
        <f t="shared" si="129"/>
        <v>386500</v>
      </c>
      <c r="Q384" s="100">
        <f>94900+61600+230000</f>
        <v>386500</v>
      </c>
      <c r="R384" s="100">
        <v>0</v>
      </c>
      <c r="S384" s="66"/>
      <c r="T384" s="65"/>
    </row>
    <row r="385" spans="1:20" ht="31.5" x14ac:dyDescent="0.2">
      <c r="A385" s="63" t="s">
        <v>588</v>
      </c>
      <c r="B385" s="63" t="s">
        <v>603</v>
      </c>
      <c r="C385" s="63" t="s">
        <v>760</v>
      </c>
      <c r="D385" s="63" t="s">
        <v>427</v>
      </c>
      <c r="E385" s="74" t="s">
        <v>433</v>
      </c>
      <c r="F385" s="65">
        <v>0</v>
      </c>
      <c r="G385" s="66">
        <f t="shared" si="127"/>
        <v>220000</v>
      </c>
      <c r="H385" s="100">
        <f>200000+20000</f>
        <v>220000</v>
      </c>
      <c r="I385" s="84"/>
      <c r="J385" s="63" t="s">
        <v>588</v>
      </c>
      <c r="K385" s="63" t="s">
        <v>603</v>
      </c>
      <c r="L385" s="63" t="s">
        <v>760</v>
      </c>
      <c r="M385" s="63" t="s">
        <v>427</v>
      </c>
      <c r="N385" s="74" t="s">
        <v>433</v>
      </c>
      <c r="O385" s="65">
        <v>0</v>
      </c>
      <c r="P385" s="66">
        <f t="shared" si="129"/>
        <v>230000</v>
      </c>
      <c r="Q385" s="100">
        <f>200000+30000</f>
        <v>230000</v>
      </c>
      <c r="R385" s="100">
        <v>200000</v>
      </c>
      <c r="S385" s="66"/>
      <c r="T385" s="65"/>
    </row>
    <row r="386" spans="1:20" ht="31.5" x14ac:dyDescent="0.2">
      <c r="A386" s="63" t="s">
        <v>588</v>
      </c>
      <c r="B386" s="63" t="s">
        <v>603</v>
      </c>
      <c r="C386" s="63" t="s">
        <v>760</v>
      </c>
      <c r="D386" s="63" t="s">
        <v>423</v>
      </c>
      <c r="E386" s="74" t="s">
        <v>434</v>
      </c>
      <c r="F386" s="65">
        <v>0</v>
      </c>
      <c r="G386" s="66">
        <f t="shared" si="127"/>
        <v>3081230</v>
      </c>
      <c r="H386" s="100">
        <f>1837230+250000+114000+80000+800000</f>
        <v>3081230</v>
      </c>
      <c r="I386" s="84"/>
      <c r="J386" s="63" t="s">
        <v>588</v>
      </c>
      <c r="K386" s="63" t="s">
        <v>603</v>
      </c>
      <c r="L386" s="63" t="s">
        <v>760</v>
      </c>
      <c r="M386" s="63" t="s">
        <v>423</v>
      </c>
      <c r="N386" s="74" t="s">
        <v>434</v>
      </c>
      <c r="O386" s="65">
        <v>0</v>
      </c>
      <c r="P386" s="66">
        <f t="shared" si="129"/>
        <v>3618230</v>
      </c>
      <c r="Q386" s="100">
        <f>1837230+250000+190000+180000+1161000</f>
        <v>3618230</v>
      </c>
      <c r="R386" s="100">
        <v>1837230</v>
      </c>
      <c r="S386" s="66"/>
      <c r="T386" s="65"/>
    </row>
    <row r="387" spans="1:20" ht="31.5" x14ac:dyDescent="0.2">
      <c r="A387" s="63" t="s">
        <v>588</v>
      </c>
      <c r="B387" s="63" t="s">
        <v>603</v>
      </c>
      <c r="C387" s="63" t="s">
        <v>760</v>
      </c>
      <c r="D387" s="63" t="s">
        <v>330</v>
      </c>
      <c r="E387" s="74" t="s">
        <v>393</v>
      </c>
      <c r="F387" s="65">
        <f>80346</f>
        <v>80346</v>
      </c>
      <c r="G387" s="66">
        <f t="shared" si="127"/>
        <v>-18126</v>
      </c>
      <c r="H387" s="100">
        <v>62220</v>
      </c>
      <c r="I387" s="84"/>
      <c r="J387" s="63" t="s">
        <v>588</v>
      </c>
      <c r="K387" s="63" t="s">
        <v>603</v>
      </c>
      <c r="L387" s="63" t="s">
        <v>760</v>
      </c>
      <c r="M387" s="63" t="s">
        <v>330</v>
      </c>
      <c r="N387" s="74" t="s">
        <v>393</v>
      </c>
      <c r="O387" s="65">
        <f>80346</f>
        <v>80346</v>
      </c>
      <c r="P387" s="66">
        <f t="shared" si="129"/>
        <v>-18126</v>
      </c>
      <c r="Q387" s="100">
        <v>62220</v>
      </c>
      <c r="R387" s="100">
        <v>62220</v>
      </c>
      <c r="S387" s="66"/>
      <c r="T387" s="65"/>
    </row>
    <row r="388" spans="1:20" x14ac:dyDescent="0.2">
      <c r="A388" s="63" t="s">
        <v>588</v>
      </c>
      <c r="B388" s="63" t="s">
        <v>603</v>
      </c>
      <c r="C388" s="63" t="s">
        <v>760</v>
      </c>
      <c r="D388" s="63" t="s">
        <v>249</v>
      </c>
      <c r="E388" s="74" t="s">
        <v>954</v>
      </c>
      <c r="F388" s="65">
        <v>104990</v>
      </c>
      <c r="G388" s="66">
        <f t="shared" si="127"/>
        <v>-61420</v>
      </c>
      <c r="H388" s="100">
        <v>43570</v>
      </c>
      <c r="J388" s="63" t="s">
        <v>588</v>
      </c>
      <c r="K388" s="63" t="s">
        <v>603</v>
      </c>
      <c r="L388" s="63" t="s">
        <v>760</v>
      </c>
      <c r="M388" s="63" t="s">
        <v>249</v>
      </c>
      <c r="N388" s="74" t="s">
        <v>954</v>
      </c>
      <c r="O388" s="65">
        <v>104990</v>
      </c>
      <c r="P388" s="66">
        <f t="shared" si="129"/>
        <v>-61420</v>
      </c>
      <c r="Q388" s="100">
        <v>43570</v>
      </c>
      <c r="R388" s="100">
        <v>43570</v>
      </c>
      <c r="S388" s="66"/>
      <c r="T388" s="65"/>
    </row>
    <row r="389" spans="1:20" ht="87" customHeight="1" x14ac:dyDescent="0.2">
      <c r="A389" s="63" t="s">
        <v>588</v>
      </c>
      <c r="B389" s="63" t="s">
        <v>603</v>
      </c>
      <c r="C389" s="63" t="s">
        <v>918</v>
      </c>
      <c r="D389" s="63"/>
      <c r="E389" s="74" t="s">
        <v>759</v>
      </c>
      <c r="F389" s="65" t="e">
        <f>#REF!+#REF!+#REF!+#REF!+#REF!+#REF!</f>
        <v>#REF!</v>
      </c>
      <c r="G389" s="66" t="e">
        <f t="shared" si="127"/>
        <v>#REF!</v>
      </c>
      <c r="H389" s="100">
        <f>H390</f>
        <v>1373600</v>
      </c>
      <c r="I389" s="84"/>
      <c r="J389" s="63" t="s">
        <v>588</v>
      </c>
      <c r="K389" s="63" t="s">
        <v>603</v>
      </c>
      <c r="L389" s="63" t="s">
        <v>760</v>
      </c>
      <c r="M389" s="63"/>
      <c r="N389" s="74" t="s">
        <v>761</v>
      </c>
      <c r="O389" s="65" t="e">
        <f>#REF!+#REF!+#REF!+#REF!+#REF!+#REF!</f>
        <v>#REF!</v>
      </c>
      <c r="P389" s="66" t="e">
        <f t="shared" si="129"/>
        <v>#REF!</v>
      </c>
      <c r="Q389" s="100">
        <f>Q390</f>
        <v>1373600</v>
      </c>
      <c r="R389" s="100">
        <f>R390</f>
        <v>1373600</v>
      </c>
      <c r="S389" s="66" t="e">
        <f t="shared" si="133"/>
        <v>#REF!</v>
      </c>
      <c r="T389" s="65" t="e">
        <f>#REF!+#REF!+#REF!+#REF!+#REF!+#REF!</f>
        <v>#REF!</v>
      </c>
    </row>
    <row r="390" spans="1:20" ht="21" x14ac:dyDescent="0.2">
      <c r="A390" s="63" t="s">
        <v>588</v>
      </c>
      <c r="B390" s="63" t="s">
        <v>603</v>
      </c>
      <c r="C390" s="63" t="s">
        <v>918</v>
      </c>
      <c r="D390" s="63" t="s">
        <v>424</v>
      </c>
      <c r="E390" s="74" t="s">
        <v>431</v>
      </c>
      <c r="F390" s="65">
        <v>1374900</v>
      </c>
      <c r="G390" s="66">
        <f t="shared" si="127"/>
        <v>-1300</v>
      </c>
      <c r="H390" s="100">
        <f>1055000+318600</f>
        <v>1373600</v>
      </c>
      <c r="I390" s="84"/>
      <c r="J390" s="63" t="s">
        <v>588</v>
      </c>
      <c r="K390" s="63" t="s">
        <v>603</v>
      </c>
      <c r="L390" s="63" t="s">
        <v>918</v>
      </c>
      <c r="M390" s="63" t="s">
        <v>424</v>
      </c>
      <c r="N390" s="74" t="s">
        <v>431</v>
      </c>
      <c r="O390" s="65">
        <v>1374900</v>
      </c>
      <c r="P390" s="66">
        <f t="shared" si="129"/>
        <v>-1300</v>
      </c>
      <c r="Q390" s="100">
        <f>1055000+318600</f>
        <v>1373600</v>
      </c>
      <c r="R390" s="100">
        <f>1055000+318600</f>
        <v>1373600</v>
      </c>
      <c r="S390" s="66"/>
      <c r="T390" s="65"/>
    </row>
    <row r="391" spans="1:20" ht="189" x14ac:dyDescent="0.2">
      <c r="A391" s="63" t="s">
        <v>588</v>
      </c>
      <c r="B391" s="63" t="s">
        <v>603</v>
      </c>
      <c r="C391" s="63" t="s">
        <v>743</v>
      </c>
      <c r="D391" s="63"/>
      <c r="E391" s="74" t="s">
        <v>744</v>
      </c>
      <c r="F391" s="65">
        <f>F392</f>
        <v>0</v>
      </c>
      <c r="G391" s="66">
        <f t="shared" si="127"/>
        <v>0</v>
      </c>
      <c r="H391" s="100">
        <f>H392</f>
        <v>0</v>
      </c>
      <c r="J391" s="63" t="s">
        <v>588</v>
      </c>
      <c r="K391" s="63" t="s">
        <v>603</v>
      </c>
      <c r="L391" s="63" t="s">
        <v>743</v>
      </c>
      <c r="M391" s="63"/>
      <c r="N391" s="74" t="s">
        <v>744</v>
      </c>
      <c r="O391" s="65">
        <f t="shared" ref="O391:T391" si="135">O392</f>
        <v>0</v>
      </c>
      <c r="P391" s="66">
        <f t="shared" si="129"/>
        <v>0</v>
      </c>
      <c r="Q391" s="100">
        <f t="shared" si="135"/>
        <v>0</v>
      </c>
      <c r="R391" s="100">
        <f t="shared" si="135"/>
        <v>0</v>
      </c>
      <c r="S391" s="66">
        <f t="shared" si="133"/>
        <v>0</v>
      </c>
      <c r="T391" s="65">
        <f t="shared" si="135"/>
        <v>0</v>
      </c>
    </row>
    <row r="392" spans="1:20" ht="31.5" x14ac:dyDescent="0.2">
      <c r="A392" s="63" t="s">
        <v>588</v>
      </c>
      <c r="B392" s="63" t="s">
        <v>603</v>
      </c>
      <c r="C392" s="63" t="s">
        <v>743</v>
      </c>
      <c r="D392" s="63" t="s">
        <v>423</v>
      </c>
      <c r="E392" s="74" t="s">
        <v>434</v>
      </c>
      <c r="F392" s="65">
        <v>0</v>
      </c>
      <c r="G392" s="66">
        <f t="shared" si="127"/>
        <v>0</v>
      </c>
      <c r="H392" s="100">
        <v>0</v>
      </c>
      <c r="J392" s="63" t="s">
        <v>588</v>
      </c>
      <c r="K392" s="63" t="s">
        <v>603</v>
      </c>
      <c r="L392" s="63" t="s">
        <v>743</v>
      </c>
      <c r="M392" s="63" t="s">
        <v>423</v>
      </c>
      <c r="N392" s="74" t="s">
        <v>434</v>
      </c>
      <c r="O392" s="65">
        <v>0</v>
      </c>
      <c r="P392" s="66">
        <f t="shared" si="129"/>
        <v>0</v>
      </c>
      <c r="Q392" s="100">
        <v>0</v>
      </c>
      <c r="R392" s="100">
        <v>0</v>
      </c>
      <c r="S392" s="66">
        <f t="shared" si="133"/>
        <v>0</v>
      </c>
      <c r="T392" s="65">
        <v>0</v>
      </c>
    </row>
    <row r="393" spans="1:20" x14ac:dyDescent="0.2">
      <c r="A393" s="63" t="s">
        <v>588</v>
      </c>
      <c r="B393" s="63" t="s">
        <v>606</v>
      </c>
      <c r="C393" s="63"/>
      <c r="D393" s="63"/>
      <c r="E393" s="74" t="s">
        <v>607</v>
      </c>
      <c r="F393" s="66">
        <f>F394</f>
        <v>2666300</v>
      </c>
      <c r="G393" s="66">
        <f t="shared" si="127"/>
        <v>277900</v>
      </c>
      <c r="H393" s="99">
        <f>H394</f>
        <v>2944200</v>
      </c>
      <c r="J393" s="63" t="s">
        <v>588</v>
      </c>
      <c r="K393" s="63" t="s">
        <v>606</v>
      </c>
      <c r="L393" s="63"/>
      <c r="M393" s="63"/>
      <c r="N393" s="74" t="s">
        <v>607</v>
      </c>
      <c r="O393" s="66" t="e">
        <f>O394+#REF!+#REF!+#REF!+#REF!+#REF!</f>
        <v>#REF!</v>
      </c>
      <c r="P393" s="66" t="e">
        <f t="shared" si="129"/>
        <v>#REF!</v>
      </c>
      <c r="Q393" s="99">
        <f>Q394</f>
        <v>2944200</v>
      </c>
      <c r="R393" s="99">
        <f>R394</f>
        <v>2944200</v>
      </c>
      <c r="S393" s="66" t="e">
        <f t="shared" si="133"/>
        <v>#REF!</v>
      </c>
      <c r="T393" s="66" t="e">
        <f>T394+#REF!+#REF!+#REF!+#REF!+#REF!</f>
        <v>#REF!</v>
      </c>
    </row>
    <row r="394" spans="1:20" ht="105" x14ac:dyDescent="0.2">
      <c r="A394" s="63" t="s">
        <v>588</v>
      </c>
      <c r="B394" s="63" t="s">
        <v>606</v>
      </c>
      <c r="C394" s="63" t="s">
        <v>753</v>
      </c>
      <c r="D394" s="63"/>
      <c r="E394" s="74" t="s">
        <v>740</v>
      </c>
      <c r="F394" s="66">
        <f>F396</f>
        <v>2666300</v>
      </c>
      <c r="G394" s="66">
        <f t="shared" si="127"/>
        <v>277900</v>
      </c>
      <c r="H394" s="99">
        <f>H396+H395</f>
        <v>2944200</v>
      </c>
      <c r="J394" s="63" t="s">
        <v>588</v>
      </c>
      <c r="K394" s="63" t="s">
        <v>606</v>
      </c>
      <c r="L394" s="63" t="s">
        <v>753</v>
      </c>
      <c r="M394" s="63"/>
      <c r="N394" s="74" t="s">
        <v>740</v>
      </c>
      <c r="O394" s="66">
        <f>O396</f>
        <v>2666300</v>
      </c>
      <c r="P394" s="66">
        <f t="shared" si="129"/>
        <v>277900</v>
      </c>
      <c r="Q394" s="99">
        <f>Q396+Q395</f>
        <v>2944200</v>
      </c>
      <c r="R394" s="99">
        <f>R396+R395</f>
        <v>2944200</v>
      </c>
      <c r="S394" s="66">
        <f t="shared" si="133"/>
        <v>-2944200</v>
      </c>
      <c r="T394" s="66">
        <f>T396</f>
        <v>0</v>
      </c>
    </row>
    <row r="395" spans="1:20" ht="42" x14ac:dyDescent="0.2">
      <c r="A395" s="63" t="s">
        <v>588</v>
      </c>
      <c r="B395" s="63" t="s">
        <v>606</v>
      </c>
      <c r="C395" s="63" t="s">
        <v>753</v>
      </c>
      <c r="D395" s="63" t="s">
        <v>996</v>
      </c>
      <c r="E395" s="74" t="s">
        <v>997</v>
      </c>
      <c r="F395" s="66"/>
      <c r="G395" s="66"/>
      <c r="H395" s="99">
        <v>2944200</v>
      </c>
      <c r="J395" s="63" t="s">
        <v>588</v>
      </c>
      <c r="K395" s="63" t="s">
        <v>606</v>
      </c>
      <c r="L395" s="63" t="s">
        <v>753</v>
      </c>
      <c r="M395" s="63" t="s">
        <v>996</v>
      </c>
      <c r="N395" s="74" t="s">
        <v>997</v>
      </c>
      <c r="O395" s="66"/>
      <c r="P395" s="66"/>
      <c r="Q395" s="99">
        <v>2944200</v>
      </c>
      <c r="R395" s="99">
        <v>2944200</v>
      </c>
      <c r="S395" s="66"/>
      <c r="T395" s="66"/>
    </row>
    <row r="396" spans="1:20" ht="31.5" x14ac:dyDescent="0.2">
      <c r="A396" s="63" t="s">
        <v>588</v>
      </c>
      <c r="B396" s="63" t="s">
        <v>606</v>
      </c>
      <c r="C396" s="63" t="s">
        <v>753</v>
      </c>
      <c r="D396" s="63" t="s">
        <v>331</v>
      </c>
      <c r="E396" s="74" t="s">
        <v>434</v>
      </c>
      <c r="F396" s="66">
        <v>2666300</v>
      </c>
      <c r="G396" s="66">
        <f t="shared" si="127"/>
        <v>-2666300</v>
      </c>
      <c r="H396" s="99">
        <v>0</v>
      </c>
      <c r="J396" s="63" t="s">
        <v>588</v>
      </c>
      <c r="K396" s="63" t="s">
        <v>606</v>
      </c>
      <c r="L396" s="63" t="s">
        <v>753</v>
      </c>
      <c r="M396" s="63" t="s">
        <v>331</v>
      </c>
      <c r="N396" s="74" t="s">
        <v>434</v>
      </c>
      <c r="O396" s="66">
        <v>2666300</v>
      </c>
      <c r="P396" s="66">
        <f t="shared" si="129"/>
        <v>-2666300</v>
      </c>
      <c r="Q396" s="99">
        <v>0</v>
      </c>
      <c r="R396" s="99"/>
      <c r="S396" s="66">
        <f t="shared" si="133"/>
        <v>0</v>
      </c>
      <c r="T396" s="66"/>
    </row>
    <row r="397" spans="1:20" ht="63" x14ac:dyDescent="0.2">
      <c r="A397" s="70" t="s">
        <v>618</v>
      </c>
      <c r="B397" s="73"/>
      <c r="C397" s="70"/>
      <c r="D397" s="70"/>
      <c r="E397" s="69" t="s">
        <v>619</v>
      </c>
      <c r="F397" s="68" t="e">
        <f>F398+F409+F414+F420+F427+F431+F438+F417</f>
        <v>#REF!</v>
      </c>
      <c r="G397" s="68" t="e">
        <f>G398+G409+G414+G420+G427+G431</f>
        <v>#REF!</v>
      </c>
      <c r="H397" s="97">
        <f>H398+H409+H414+H420+H427+H431+H438+H417</f>
        <v>32984090</v>
      </c>
      <c r="J397" s="70" t="s">
        <v>618</v>
      </c>
      <c r="K397" s="73"/>
      <c r="L397" s="70"/>
      <c r="M397" s="70"/>
      <c r="N397" s="69" t="s">
        <v>619</v>
      </c>
      <c r="O397" s="68" t="e">
        <f>O398+O409+O414+O420+O427+O431+O438+O417</f>
        <v>#REF!</v>
      </c>
      <c r="P397" s="68" t="e">
        <f>P398+P409+P414+P420+P427+P431</f>
        <v>#REF!</v>
      </c>
      <c r="Q397" s="97">
        <f>Q398+Q409+Q414+Q420+Q427+Q431+Q438+Q417</f>
        <v>35929360</v>
      </c>
      <c r="R397" s="97">
        <f>R398+R409+R414+R420+R427+R431+R438+R417</f>
        <v>34067340</v>
      </c>
      <c r="S397" s="68" t="e">
        <f>S398+S409+S414+S420+S427+S431+S438+S417</f>
        <v>#REF!</v>
      </c>
      <c r="T397" s="68" t="e">
        <f>T398+T409+T414+T420+T427+T431+T438</f>
        <v>#REF!</v>
      </c>
    </row>
    <row r="398" spans="1:20" ht="52.5" x14ac:dyDescent="0.2">
      <c r="A398" s="63" t="s">
        <v>618</v>
      </c>
      <c r="B398" s="63" t="s">
        <v>620</v>
      </c>
      <c r="C398" s="63"/>
      <c r="D398" s="63"/>
      <c r="E398" s="74" t="s">
        <v>621</v>
      </c>
      <c r="F398" s="66" t="e">
        <f>F402+#REF!</f>
        <v>#REF!</v>
      </c>
      <c r="G398" s="66" t="e">
        <f t="shared" ref="G398:G442" si="136">H398-F398</f>
        <v>#REF!</v>
      </c>
      <c r="H398" s="99">
        <f>H402+H400</f>
        <v>5309530</v>
      </c>
      <c r="J398" s="63" t="s">
        <v>618</v>
      </c>
      <c r="K398" s="63" t="s">
        <v>620</v>
      </c>
      <c r="L398" s="63"/>
      <c r="M398" s="63"/>
      <c r="N398" s="74" t="s">
        <v>621</v>
      </c>
      <c r="O398" s="66" t="e">
        <f>#REF!+#REF!+O402+#REF!</f>
        <v>#REF!</v>
      </c>
      <c r="P398" s="66" t="e">
        <f t="shared" ref="P398:P442" si="137">Q398-O398</f>
        <v>#REF!</v>
      </c>
      <c r="Q398" s="99">
        <f>Q402+Q400</f>
        <v>5405100</v>
      </c>
      <c r="R398" s="99">
        <f>R402+R400</f>
        <v>5196280</v>
      </c>
      <c r="S398" s="66" t="e">
        <f t="shared" si="133"/>
        <v>#REF!</v>
      </c>
      <c r="T398" s="66" t="e">
        <f>#REF!+#REF!+T402+#REF!</f>
        <v>#REF!</v>
      </c>
    </row>
    <row r="399" spans="1:20" ht="55.5" customHeight="1" x14ac:dyDescent="0.2">
      <c r="A399" s="63" t="s">
        <v>618</v>
      </c>
      <c r="B399" s="63" t="s">
        <v>620</v>
      </c>
      <c r="C399" s="63" t="s">
        <v>880</v>
      </c>
      <c r="D399" s="63"/>
      <c r="E399" s="74" t="s">
        <v>881</v>
      </c>
      <c r="F399" s="65" t="e">
        <f>F402+#REF!</f>
        <v>#REF!</v>
      </c>
      <c r="G399" s="66" t="e">
        <f t="shared" si="136"/>
        <v>#REF!</v>
      </c>
      <c r="H399" s="100">
        <f>H402+H400</f>
        <v>5309530</v>
      </c>
      <c r="J399" s="63" t="s">
        <v>618</v>
      </c>
      <c r="K399" s="63" t="s">
        <v>620</v>
      </c>
      <c r="L399" s="63" t="s">
        <v>880</v>
      </c>
      <c r="M399" s="63"/>
      <c r="N399" s="74" t="s">
        <v>881</v>
      </c>
      <c r="O399" s="65" t="e">
        <f>O402+#REF!</f>
        <v>#REF!</v>
      </c>
      <c r="P399" s="66" t="e">
        <f t="shared" si="137"/>
        <v>#REF!</v>
      </c>
      <c r="Q399" s="100">
        <f>Q402+Q400</f>
        <v>5405100</v>
      </c>
      <c r="R399" s="100">
        <f>R402+R400</f>
        <v>5196280</v>
      </c>
      <c r="S399" s="66" t="e">
        <f t="shared" si="133"/>
        <v>#REF!</v>
      </c>
      <c r="T399" s="65" t="e">
        <f>T402+#REF!</f>
        <v>#REF!</v>
      </c>
    </row>
    <row r="400" spans="1:20" ht="66" customHeight="1" x14ac:dyDescent="0.2">
      <c r="A400" s="63" t="s">
        <v>618</v>
      </c>
      <c r="B400" s="63" t="s">
        <v>620</v>
      </c>
      <c r="C400" s="63" t="s">
        <v>921</v>
      </c>
      <c r="D400" s="63"/>
      <c r="E400" s="74" t="s">
        <v>762</v>
      </c>
      <c r="F400" s="65">
        <f>F401</f>
        <v>215300</v>
      </c>
      <c r="G400" s="66">
        <f t="shared" si="136"/>
        <v>-500</v>
      </c>
      <c r="H400" s="100">
        <f>H401</f>
        <v>214800</v>
      </c>
      <c r="J400" s="63" t="s">
        <v>618</v>
      </c>
      <c r="K400" s="63" t="s">
        <v>620</v>
      </c>
      <c r="L400" s="63" t="s">
        <v>921</v>
      </c>
      <c r="M400" s="63"/>
      <c r="N400" s="74" t="s">
        <v>762</v>
      </c>
      <c r="O400" s="65">
        <f>O401</f>
        <v>215300</v>
      </c>
      <c r="P400" s="66">
        <f t="shared" si="137"/>
        <v>-500</v>
      </c>
      <c r="Q400" s="100">
        <f>Q401</f>
        <v>214800</v>
      </c>
      <c r="R400" s="100">
        <f>R401</f>
        <v>214800</v>
      </c>
      <c r="S400" s="66"/>
      <c r="T400" s="65"/>
    </row>
    <row r="401" spans="1:20" ht="24.75" customHeight="1" x14ac:dyDescent="0.2">
      <c r="A401" s="63" t="s">
        <v>618</v>
      </c>
      <c r="B401" s="63" t="s">
        <v>620</v>
      </c>
      <c r="C401" s="63" t="s">
        <v>921</v>
      </c>
      <c r="D401" s="63" t="s">
        <v>424</v>
      </c>
      <c r="E401" s="74" t="s">
        <v>431</v>
      </c>
      <c r="F401" s="65">
        <f>165350+49950</f>
        <v>215300</v>
      </c>
      <c r="G401" s="66">
        <f t="shared" si="136"/>
        <v>-500</v>
      </c>
      <c r="H401" s="100">
        <f>165000+49800</f>
        <v>214800</v>
      </c>
      <c r="J401" s="63" t="s">
        <v>618</v>
      </c>
      <c r="K401" s="63" t="s">
        <v>620</v>
      </c>
      <c r="L401" s="63" t="s">
        <v>921</v>
      </c>
      <c r="M401" s="63" t="s">
        <v>424</v>
      </c>
      <c r="N401" s="74" t="s">
        <v>431</v>
      </c>
      <c r="O401" s="65">
        <f>165350+49950</f>
        <v>215300</v>
      </c>
      <c r="P401" s="66">
        <f t="shared" si="137"/>
        <v>-500</v>
      </c>
      <c r="Q401" s="100">
        <f>165000+49800</f>
        <v>214800</v>
      </c>
      <c r="R401" s="100">
        <f>165000+49800</f>
        <v>214800</v>
      </c>
      <c r="S401" s="66"/>
      <c r="T401" s="65"/>
    </row>
    <row r="402" spans="1:20" ht="69.75" customHeight="1" x14ac:dyDescent="0.2">
      <c r="A402" s="63" t="s">
        <v>618</v>
      </c>
      <c r="B402" s="63" t="s">
        <v>620</v>
      </c>
      <c r="C402" s="63" t="s">
        <v>920</v>
      </c>
      <c r="D402" s="63"/>
      <c r="E402" s="74" t="s">
        <v>762</v>
      </c>
      <c r="F402" s="65">
        <f>F403+F404+F405+F406+F407+F408</f>
        <v>4835260</v>
      </c>
      <c r="G402" s="66">
        <f t="shared" si="136"/>
        <v>259470</v>
      </c>
      <c r="H402" s="100">
        <f>H403+H404+H405+H406+H407+H408</f>
        <v>5094730</v>
      </c>
      <c r="J402" s="63" t="s">
        <v>618</v>
      </c>
      <c r="K402" s="63" t="s">
        <v>620</v>
      </c>
      <c r="L402" s="63" t="s">
        <v>920</v>
      </c>
      <c r="M402" s="63"/>
      <c r="N402" s="74" t="s">
        <v>762</v>
      </c>
      <c r="O402" s="65">
        <f t="shared" ref="O402:T402" si="138">O403+O404+O405+O406+O407+O408</f>
        <v>4835260</v>
      </c>
      <c r="P402" s="66">
        <f t="shared" si="137"/>
        <v>355040</v>
      </c>
      <c r="Q402" s="100">
        <f t="shared" si="138"/>
        <v>5190300</v>
      </c>
      <c r="R402" s="100">
        <f t="shared" si="138"/>
        <v>4981480</v>
      </c>
      <c r="S402" s="66">
        <f t="shared" si="133"/>
        <v>-4981480</v>
      </c>
      <c r="T402" s="65">
        <f t="shared" si="138"/>
        <v>0</v>
      </c>
    </row>
    <row r="403" spans="1:20" ht="21" x14ac:dyDescent="0.2">
      <c r="A403" s="63" t="s">
        <v>618</v>
      </c>
      <c r="B403" s="63" t="s">
        <v>620</v>
      </c>
      <c r="C403" s="63" t="s">
        <v>920</v>
      </c>
      <c r="D403" s="63" t="s">
        <v>424</v>
      </c>
      <c r="E403" s="74" t="s">
        <v>431</v>
      </c>
      <c r="F403" s="66">
        <v>4817860</v>
      </c>
      <c r="G403" s="66">
        <f t="shared" si="136"/>
        <v>19740</v>
      </c>
      <c r="H403" s="99">
        <f>3719000+1118600</f>
        <v>4837600</v>
      </c>
      <c r="J403" s="63" t="s">
        <v>618</v>
      </c>
      <c r="K403" s="63" t="s">
        <v>620</v>
      </c>
      <c r="L403" s="63" t="s">
        <v>920</v>
      </c>
      <c r="M403" s="63" t="s">
        <v>424</v>
      </c>
      <c r="N403" s="74" t="s">
        <v>431</v>
      </c>
      <c r="O403" s="66">
        <v>4817860</v>
      </c>
      <c r="P403" s="66">
        <f t="shared" si="137"/>
        <v>-460</v>
      </c>
      <c r="Q403" s="99">
        <f>3700000+1117400</f>
        <v>4817400</v>
      </c>
      <c r="R403" s="99">
        <f>3700000+1117400</f>
        <v>4817400</v>
      </c>
      <c r="S403" s="66">
        <f t="shared" si="133"/>
        <v>-4817400</v>
      </c>
      <c r="T403" s="66"/>
    </row>
    <row r="404" spans="1:20" ht="31.5" x14ac:dyDescent="0.2">
      <c r="A404" s="63" t="s">
        <v>618</v>
      </c>
      <c r="B404" s="63" t="s">
        <v>620</v>
      </c>
      <c r="C404" s="63" t="s">
        <v>920</v>
      </c>
      <c r="D404" s="63" t="s">
        <v>425</v>
      </c>
      <c r="E404" s="74" t="s">
        <v>432</v>
      </c>
      <c r="F404" s="65">
        <v>0</v>
      </c>
      <c r="G404" s="66">
        <f t="shared" si="136"/>
        <v>43000</v>
      </c>
      <c r="H404" s="100">
        <f>10000+3000+30000</f>
        <v>43000</v>
      </c>
      <c r="J404" s="63" t="s">
        <v>618</v>
      </c>
      <c r="K404" s="63" t="s">
        <v>620</v>
      </c>
      <c r="L404" s="63" t="s">
        <v>920</v>
      </c>
      <c r="M404" s="63" t="s">
        <v>425</v>
      </c>
      <c r="N404" s="74" t="s">
        <v>432</v>
      </c>
      <c r="O404" s="65">
        <v>0</v>
      </c>
      <c r="P404" s="66">
        <f t="shared" si="137"/>
        <v>73200</v>
      </c>
      <c r="Q404" s="100">
        <f>14700+6000+52500</f>
        <v>73200</v>
      </c>
      <c r="R404" s="100">
        <f>5000+3000+10000</f>
        <v>18000</v>
      </c>
      <c r="S404" s="66">
        <f t="shared" si="133"/>
        <v>-18000</v>
      </c>
      <c r="T404" s="65">
        <v>0</v>
      </c>
    </row>
    <row r="405" spans="1:20" ht="31.5" x14ac:dyDescent="0.2">
      <c r="A405" s="63" t="s">
        <v>618</v>
      </c>
      <c r="B405" s="63" t="s">
        <v>620</v>
      </c>
      <c r="C405" s="63" t="s">
        <v>920</v>
      </c>
      <c r="D405" s="63" t="s">
        <v>427</v>
      </c>
      <c r="E405" s="74" t="s">
        <v>433</v>
      </c>
      <c r="F405" s="65">
        <v>0</v>
      </c>
      <c r="G405" s="66">
        <f t="shared" si="136"/>
        <v>66000</v>
      </c>
      <c r="H405" s="100">
        <f>61000+5000+0</f>
        <v>66000</v>
      </c>
      <c r="J405" s="63" t="s">
        <v>618</v>
      </c>
      <c r="K405" s="63" t="s">
        <v>620</v>
      </c>
      <c r="L405" s="63" t="s">
        <v>920</v>
      </c>
      <c r="M405" s="63" t="s">
        <v>427</v>
      </c>
      <c r="N405" s="74" t="s">
        <v>433</v>
      </c>
      <c r="O405" s="65">
        <v>0</v>
      </c>
      <c r="P405" s="66">
        <f t="shared" si="137"/>
        <v>96000</v>
      </c>
      <c r="Q405" s="100">
        <f>61000+5000+30000</f>
        <v>96000</v>
      </c>
      <c r="R405" s="100">
        <f>61000+5000+0</f>
        <v>66000</v>
      </c>
      <c r="S405" s="66">
        <f t="shared" si="133"/>
        <v>-66000</v>
      </c>
      <c r="T405" s="65">
        <v>0</v>
      </c>
    </row>
    <row r="406" spans="1:20" ht="31.5" x14ac:dyDescent="0.2">
      <c r="A406" s="63" t="s">
        <v>618</v>
      </c>
      <c r="B406" s="63" t="s">
        <v>620</v>
      </c>
      <c r="C406" s="63" t="s">
        <v>920</v>
      </c>
      <c r="D406" s="63" t="s">
        <v>423</v>
      </c>
      <c r="E406" s="74" t="s">
        <v>434</v>
      </c>
      <c r="F406" s="65">
        <v>0</v>
      </c>
      <c r="G406" s="66">
        <f t="shared" si="136"/>
        <v>130330</v>
      </c>
      <c r="H406" s="100">
        <f>3000+13000+12000+102330</f>
        <v>130330</v>
      </c>
      <c r="J406" s="63" t="s">
        <v>618</v>
      </c>
      <c r="K406" s="63" t="s">
        <v>620</v>
      </c>
      <c r="L406" s="63" t="s">
        <v>920</v>
      </c>
      <c r="M406" s="63" t="s">
        <v>423</v>
      </c>
      <c r="N406" s="74" t="s">
        <v>434</v>
      </c>
      <c r="O406" s="65">
        <v>0</v>
      </c>
      <c r="P406" s="66">
        <f t="shared" si="137"/>
        <v>185900</v>
      </c>
      <c r="Q406" s="100">
        <f>3000+13000+12000+157900</f>
        <v>185900</v>
      </c>
      <c r="R406" s="100">
        <f>3000+59280</f>
        <v>62280</v>
      </c>
      <c r="S406" s="66">
        <f t="shared" si="133"/>
        <v>-62280</v>
      </c>
      <c r="T406" s="65">
        <v>0</v>
      </c>
    </row>
    <row r="407" spans="1:20" ht="31.5" x14ac:dyDescent="0.2">
      <c r="A407" s="63" t="s">
        <v>618</v>
      </c>
      <c r="B407" s="63" t="s">
        <v>620</v>
      </c>
      <c r="C407" s="63" t="s">
        <v>920</v>
      </c>
      <c r="D407" s="63" t="s">
        <v>330</v>
      </c>
      <c r="E407" s="74" t="s">
        <v>393</v>
      </c>
      <c r="F407" s="66">
        <v>11700</v>
      </c>
      <c r="G407" s="66">
        <f t="shared" si="136"/>
        <v>0</v>
      </c>
      <c r="H407" s="99">
        <v>11700</v>
      </c>
      <c r="J407" s="63" t="s">
        <v>618</v>
      </c>
      <c r="K407" s="63" t="s">
        <v>620</v>
      </c>
      <c r="L407" s="63" t="s">
        <v>920</v>
      </c>
      <c r="M407" s="63" t="s">
        <v>330</v>
      </c>
      <c r="N407" s="74" t="s">
        <v>393</v>
      </c>
      <c r="O407" s="66">
        <v>11700</v>
      </c>
      <c r="P407" s="66">
        <f t="shared" si="137"/>
        <v>0</v>
      </c>
      <c r="Q407" s="99">
        <v>11700</v>
      </c>
      <c r="R407" s="99">
        <v>11700</v>
      </c>
      <c r="S407" s="66">
        <f t="shared" si="133"/>
        <v>-11700</v>
      </c>
      <c r="T407" s="66"/>
    </row>
    <row r="408" spans="1:20" x14ac:dyDescent="0.2">
      <c r="A408" s="63" t="s">
        <v>618</v>
      </c>
      <c r="B408" s="63" t="s">
        <v>620</v>
      </c>
      <c r="C408" s="63" t="s">
        <v>920</v>
      </c>
      <c r="D408" s="63" t="s">
        <v>249</v>
      </c>
      <c r="E408" s="74" t="s">
        <v>954</v>
      </c>
      <c r="F408" s="66">
        <v>5700</v>
      </c>
      <c r="G408" s="66">
        <f t="shared" si="136"/>
        <v>400</v>
      </c>
      <c r="H408" s="99">
        <v>6100</v>
      </c>
      <c r="J408" s="63" t="s">
        <v>618</v>
      </c>
      <c r="K408" s="63" t="s">
        <v>620</v>
      </c>
      <c r="L408" s="63" t="s">
        <v>920</v>
      </c>
      <c r="M408" s="63" t="s">
        <v>249</v>
      </c>
      <c r="N408" s="74" t="s">
        <v>954</v>
      </c>
      <c r="O408" s="66">
        <v>5700</v>
      </c>
      <c r="P408" s="66">
        <f t="shared" si="137"/>
        <v>400</v>
      </c>
      <c r="Q408" s="99">
        <v>6100</v>
      </c>
      <c r="R408" s="99">
        <v>6100</v>
      </c>
      <c r="S408" s="66">
        <f t="shared" si="133"/>
        <v>-6100</v>
      </c>
      <c r="T408" s="66"/>
    </row>
    <row r="409" spans="1:20" ht="21" x14ac:dyDescent="0.2">
      <c r="A409" s="63" t="s">
        <v>618</v>
      </c>
      <c r="B409" s="64" t="s">
        <v>418</v>
      </c>
      <c r="C409" s="64"/>
      <c r="D409" s="63"/>
      <c r="E409" s="74" t="s">
        <v>497</v>
      </c>
      <c r="F409" s="65">
        <f>F411</f>
        <v>0</v>
      </c>
      <c r="G409" s="66">
        <f t="shared" si="136"/>
        <v>388000</v>
      </c>
      <c r="H409" s="100">
        <f>H411</f>
        <v>388000</v>
      </c>
      <c r="J409" s="63" t="s">
        <v>618</v>
      </c>
      <c r="K409" s="64" t="s">
        <v>418</v>
      </c>
      <c r="L409" s="64"/>
      <c r="M409" s="63"/>
      <c r="N409" s="74" t="s">
        <v>497</v>
      </c>
      <c r="O409" s="65">
        <f t="shared" ref="O409:T409" si="139">O411</f>
        <v>0</v>
      </c>
      <c r="P409" s="66">
        <f t="shared" si="137"/>
        <v>394600</v>
      </c>
      <c r="Q409" s="100">
        <f t="shared" si="139"/>
        <v>394600</v>
      </c>
      <c r="R409" s="100">
        <f t="shared" si="139"/>
        <v>359600</v>
      </c>
      <c r="S409" s="66">
        <f t="shared" si="133"/>
        <v>-359600</v>
      </c>
      <c r="T409" s="65">
        <f t="shared" si="139"/>
        <v>0</v>
      </c>
    </row>
    <row r="410" spans="1:20" ht="115.5" x14ac:dyDescent="0.2">
      <c r="A410" s="63" t="s">
        <v>618</v>
      </c>
      <c r="B410" s="64" t="s">
        <v>418</v>
      </c>
      <c r="C410" s="64" t="s">
        <v>882</v>
      </c>
      <c r="D410" s="63"/>
      <c r="E410" s="74" t="s">
        <v>883</v>
      </c>
      <c r="F410" s="65">
        <f>F411</f>
        <v>0</v>
      </c>
      <c r="G410" s="66">
        <f t="shared" si="136"/>
        <v>388000</v>
      </c>
      <c r="H410" s="100">
        <f>H411</f>
        <v>388000</v>
      </c>
      <c r="J410" s="63" t="s">
        <v>618</v>
      </c>
      <c r="K410" s="64" t="s">
        <v>418</v>
      </c>
      <c r="L410" s="64" t="s">
        <v>882</v>
      </c>
      <c r="M410" s="63"/>
      <c r="N410" s="74" t="s">
        <v>883</v>
      </c>
      <c r="O410" s="65">
        <f t="shared" ref="O410:T410" si="140">O411</f>
        <v>0</v>
      </c>
      <c r="P410" s="66">
        <f t="shared" si="137"/>
        <v>394600</v>
      </c>
      <c r="Q410" s="100">
        <f t="shared" si="140"/>
        <v>394600</v>
      </c>
      <c r="R410" s="100">
        <f t="shared" si="140"/>
        <v>359600</v>
      </c>
      <c r="S410" s="66">
        <f t="shared" si="133"/>
        <v>-359600</v>
      </c>
      <c r="T410" s="65">
        <f t="shared" si="140"/>
        <v>0</v>
      </c>
    </row>
    <row r="411" spans="1:20" ht="97.5" customHeight="1" x14ac:dyDescent="0.2">
      <c r="A411" s="63" t="s">
        <v>618</v>
      </c>
      <c r="B411" s="64" t="s">
        <v>418</v>
      </c>
      <c r="C411" s="64" t="s">
        <v>884</v>
      </c>
      <c r="D411" s="63"/>
      <c r="E411" s="74" t="s">
        <v>885</v>
      </c>
      <c r="F411" s="65">
        <f>F412+F413</f>
        <v>0</v>
      </c>
      <c r="G411" s="66">
        <f t="shared" si="136"/>
        <v>388000</v>
      </c>
      <c r="H411" s="100">
        <f>H412+H413</f>
        <v>388000</v>
      </c>
      <c r="J411" s="63" t="s">
        <v>618</v>
      </c>
      <c r="K411" s="64" t="s">
        <v>418</v>
      </c>
      <c r="L411" s="64" t="s">
        <v>884</v>
      </c>
      <c r="M411" s="63"/>
      <c r="N411" s="74" t="s">
        <v>885</v>
      </c>
      <c r="O411" s="65">
        <f t="shared" ref="O411:T411" si="141">O412+O413</f>
        <v>0</v>
      </c>
      <c r="P411" s="66">
        <f t="shared" si="137"/>
        <v>394600</v>
      </c>
      <c r="Q411" s="100">
        <f t="shared" si="141"/>
        <v>394600</v>
      </c>
      <c r="R411" s="100">
        <f t="shared" si="141"/>
        <v>359600</v>
      </c>
      <c r="S411" s="66">
        <f t="shared" si="133"/>
        <v>-359600</v>
      </c>
      <c r="T411" s="65">
        <f t="shared" si="141"/>
        <v>0</v>
      </c>
    </row>
    <row r="412" spans="1:20" ht="31.5" x14ac:dyDescent="0.2">
      <c r="A412" s="63" t="s">
        <v>618</v>
      </c>
      <c r="B412" s="64" t="s">
        <v>418</v>
      </c>
      <c r="C412" s="64" t="s">
        <v>884</v>
      </c>
      <c r="D412" s="63" t="s">
        <v>427</v>
      </c>
      <c r="E412" s="74" t="s">
        <v>433</v>
      </c>
      <c r="F412" s="65">
        <v>0</v>
      </c>
      <c r="G412" s="66">
        <f t="shared" si="136"/>
        <v>358000</v>
      </c>
      <c r="H412" s="100">
        <f>120000+190000+35000+13000</f>
        <v>358000</v>
      </c>
      <c r="J412" s="63" t="s">
        <v>618</v>
      </c>
      <c r="K412" s="64" t="s">
        <v>418</v>
      </c>
      <c r="L412" s="64" t="s">
        <v>884</v>
      </c>
      <c r="M412" s="63" t="s">
        <v>427</v>
      </c>
      <c r="N412" s="74" t="s">
        <v>433</v>
      </c>
      <c r="O412" s="65">
        <v>0</v>
      </c>
      <c r="P412" s="66">
        <f t="shared" si="137"/>
        <v>360000</v>
      </c>
      <c r="Q412" s="100">
        <f>120000+192000+35000+13000</f>
        <v>360000</v>
      </c>
      <c r="R412" s="100">
        <f>120000+192000+13000</f>
        <v>325000</v>
      </c>
      <c r="S412" s="66">
        <f t="shared" si="133"/>
        <v>-325000</v>
      </c>
      <c r="T412" s="65">
        <v>0</v>
      </c>
    </row>
    <row r="413" spans="1:20" ht="31.5" x14ac:dyDescent="0.2">
      <c r="A413" s="63" t="s">
        <v>618</v>
      </c>
      <c r="B413" s="64" t="s">
        <v>418</v>
      </c>
      <c r="C413" s="64" t="s">
        <v>884</v>
      </c>
      <c r="D413" s="63" t="s">
        <v>423</v>
      </c>
      <c r="E413" s="74" t="s">
        <v>434</v>
      </c>
      <c r="F413" s="65">
        <v>0</v>
      </c>
      <c r="G413" s="66">
        <f t="shared" si="136"/>
        <v>30000</v>
      </c>
      <c r="H413" s="100">
        <v>30000</v>
      </c>
      <c r="J413" s="63" t="s">
        <v>618</v>
      </c>
      <c r="K413" s="64" t="s">
        <v>418</v>
      </c>
      <c r="L413" s="64" t="s">
        <v>884</v>
      </c>
      <c r="M413" s="63" t="s">
        <v>423</v>
      </c>
      <c r="N413" s="74" t="s">
        <v>434</v>
      </c>
      <c r="O413" s="65">
        <v>0</v>
      </c>
      <c r="P413" s="66">
        <f t="shared" si="137"/>
        <v>34600</v>
      </c>
      <c r="Q413" s="100">
        <v>34600</v>
      </c>
      <c r="R413" s="100">
        <v>34600</v>
      </c>
      <c r="S413" s="66">
        <f t="shared" si="133"/>
        <v>-34600</v>
      </c>
      <c r="T413" s="65">
        <v>0</v>
      </c>
    </row>
    <row r="414" spans="1:20" ht="21" x14ac:dyDescent="0.2">
      <c r="A414" s="77" t="s">
        <v>618</v>
      </c>
      <c r="B414" s="64" t="s">
        <v>420</v>
      </c>
      <c r="C414" s="64"/>
      <c r="D414" s="63"/>
      <c r="E414" s="74" t="s">
        <v>421</v>
      </c>
      <c r="F414" s="65">
        <f>F415</f>
        <v>505400</v>
      </c>
      <c r="G414" s="66">
        <f t="shared" si="136"/>
        <v>39800</v>
      </c>
      <c r="H414" s="100">
        <f>H415</f>
        <v>545200</v>
      </c>
      <c r="J414" s="77" t="s">
        <v>618</v>
      </c>
      <c r="K414" s="64" t="s">
        <v>420</v>
      </c>
      <c r="L414" s="64"/>
      <c r="M414" s="63"/>
      <c r="N414" s="74" t="s">
        <v>421</v>
      </c>
      <c r="O414" s="65" t="e">
        <f>#REF!+O415</f>
        <v>#REF!</v>
      </c>
      <c r="P414" s="66" t="e">
        <f t="shared" si="137"/>
        <v>#REF!</v>
      </c>
      <c r="Q414" s="100">
        <f>Q415</f>
        <v>546400</v>
      </c>
      <c r="R414" s="100">
        <f>R415</f>
        <v>546400</v>
      </c>
      <c r="S414" s="66" t="e">
        <f t="shared" si="133"/>
        <v>#REF!</v>
      </c>
      <c r="T414" s="65" t="e">
        <f>#REF!+T415</f>
        <v>#REF!</v>
      </c>
    </row>
    <row r="415" spans="1:20" ht="42" x14ac:dyDescent="0.2">
      <c r="A415" s="77" t="s">
        <v>618</v>
      </c>
      <c r="B415" s="64" t="s">
        <v>420</v>
      </c>
      <c r="C415" s="64" t="s">
        <v>886</v>
      </c>
      <c r="D415" s="63"/>
      <c r="E415" s="74" t="s">
        <v>887</v>
      </c>
      <c r="F415" s="65">
        <f>F416</f>
        <v>505400</v>
      </c>
      <c r="G415" s="66">
        <f t="shared" si="136"/>
        <v>39800</v>
      </c>
      <c r="H415" s="100">
        <f>H416</f>
        <v>545200</v>
      </c>
      <c r="J415" s="77" t="s">
        <v>618</v>
      </c>
      <c r="K415" s="64" t="s">
        <v>420</v>
      </c>
      <c r="L415" s="64" t="s">
        <v>886</v>
      </c>
      <c r="M415" s="63"/>
      <c r="N415" s="74" t="s">
        <v>887</v>
      </c>
      <c r="O415" s="65">
        <f t="shared" ref="O415:T415" si="142">O416</f>
        <v>505400</v>
      </c>
      <c r="P415" s="66">
        <f t="shared" si="137"/>
        <v>41000</v>
      </c>
      <c r="Q415" s="100">
        <f t="shared" si="142"/>
        <v>546400</v>
      </c>
      <c r="R415" s="100">
        <f t="shared" si="142"/>
        <v>546400</v>
      </c>
      <c r="S415" s="66">
        <f t="shared" si="133"/>
        <v>-546400</v>
      </c>
      <c r="T415" s="65">
        <f t="shared" si="142"/>
        <v>0</v>
      </c>
    </row>
    <row r="416" spans="1:20" x14ac:dyDescent="0.2">
      <c r="A416" s="77" t="s">
        <v>618</v>
      </c>
      <c r="B416" s="64" t="s">
        <v>420</v>
      </c>
      <c r="C416" s="64" t="s">
        <v>886</v>
      </c>
      <c r="D416" s="63" t="s">
        <v>443</v>
      </c>
      <c r="E416" s="74" t="s">
        <v>446</v>
      </c>
      <c r="F416" s="65">
        <v>505400</v>
      </c>
      <c r="G416" s="66">
        <f t="shared" si="136"/>
        <v>39800</v>
      </c>
      <c r="H416" s="100">
        <v>545200</v>
      </c>
      <c r="J416" s="77" t="s">
        <v>618</v>
      </c>
      <c r="K416" s="64" t="s">
        <v>420</v>
      </c>
      <c r="L416" s="64" t="s">
        <v>886</v>
      </c>
      <c r="M416" s="63" t="s">
        <v>443</v>
      </c>
      <c r="N416" s="74" t="s">
        <v>446</v>
      </c>
      <c r="O416" s="65">
        <v>505400</v>
      </c>
      <c r="P416" s="66">
        <f t="shared" si="137"/>
        <v>41000</v>
      </c>
      <c r="Q416" s="100">
        <v>546400</v>
      </c>
      <c r="R416" s="100">
        <v>546400</v>
      </c>
      <c r="S416" s="66">
        <f t="shared" si="133"/>
        <v>-546400</v>
      </c>
      <c r="T416" s="65"/>
    </row>
    <row r="417" spans="1:20" x14ac:dyDescent="0.2">
      <c r="A417" s="77" t="s">
        <v>618</v>
      </c>
      <c r="B417" s="64" t="s">
        <v>361</v>
      </c>
      <c r="C417" s="64"/>
      <c r="D417" s="63"/>
      <c r="E417" s="74" t="s">
        <v>369</v>
      </c>
      <c r="F417" s="65">
        <f>F418</f>
        <v>0</v>
      </c>
      <c r="G417" s="66">
        <f t="shared" si="136"/>
        <v>0</v>
      </c>
      <c r="H417" s="100">
        <f>H418</f>
        <v>0</v>
      </c>
      <c r="J417" s="77" t="s">
        <v>618</v>
      </c>
      <c r="K417" s="64" t="s">
        <v>361</v>
      </c>
      <c r="L417" s="64"/>
      <c r="M417" s="63"/>
      <c r="N417" s="74" t="s">
        <v>369</v>
      </c>
      <c r="O417" s="65">
        <f>O418</f>
        <v>822300</v>
      </c>
      <c r="P417" s="66">
        <f t="shared" si="137"/>
        <v>2059600</v>
      </c>
      <c r="Q417" s="100">
        <f>Q418</f>
        <v>2881900</v>
      </c>
      <c r="R417" s="100">
        <f>R418</f>
        <v>1263700</v>
      </c>
      <c r="S417" s="66">
        <f t="shared" si="133"/>
        <v>-1263700</v>
      </c>
      <c r="T417" s="65"/>
    </row>
    <row r="418" spans="1:20" ht="168" x14ac:dyDescent="0.2">
      <c r="A418" s="77" t="s">
        <v>618</v>
      </c>
      <c r="B418" s="64" t="s">
        <v>361</v>
      </c>
      <c r="C418" s="64" t="s">
        <v>922</v>
      </c>
      <c r="D418" s="63"/>
      <c r="E418" s="74" t="s">
        <v>925</v>
      </c>
      <c r="F418" s="65">
        <f>F419</f>
        <v>0</v>
      </c>
      <c r="G418" s="66">
        <f t="shared" si="136"/>
        <v>0</v>
      </c>
      <c r="H418" s="100">
        <f>H419</f>
        <v>0</v>
      </c>
      <c r="J418" s="77" t="s">
        <v>618</v>
      </c>
      <c r="K418" s="64" t="s">
        <v>361</v>
      </c>
      <c r="L418" s="64" t="s">
        <v>922</v>
      </c>
      <c r="M418" s="63"/>
      <c r="N418" s="74" t="s">
        <v>925</v>
      </c>
      <c r="O418" s="65">
        <f>O419</f>
        <v>822300</v>
      </c>
      <c r="P418" s="66">
        <f t="shared" si="137"/>
        <v>2059600</v>
      </c>
      <c r="Q418" s="100">
        <f>Q419</f>
        <v>2881900</v>
      </c>
      <c r="R418" s="100">
        <f>R419</f>
        <v>1263700</v>
      </c>
      <c r="S418" s="66">
        <f t="shared" si="133"/>
        <v>-1263700</v>
      </c>
      <c r="T418" s="65"/>
    </row>
    <row r="419" spans="1:20" ht="63" x14ac:dyDescent="0.2">
      <c r="A419" s="77" t="s">
        <v>618</v>
      </c>
      <c r="B419" s="64" t="s">
        <v>361</v>
      </c>
      <c r="C419" s="64" t="s">
        <v>922</v>
      </c>
      <c r="D419" s="63" t="s">
        <v>923</v>
      </c>
      <c r="E419" s="74" t="s">
        <v>924</v>
      </c>
      <c r="F419" s="65">
        <v>0</v>
      </c>
      <c r="G419" s="66">
        <f t="shared" si="136"/>
        <v>0</v>
      </c>
      <c r="H419" s="100">
        <v>0</v>
      </c>
      <c r="J419" s="77" t="s">
        <v>618</v>
      </c>
      <c r="K419" s="64" t="s">
        <v>361</v>
      </c>
      <c r="L419" s="64" t="s">
        <v>922</v>
      </c>
      <c r="M419" s="63" t="s">
        <v>923</v>
      </c>
      <c r="N419" s="74" t="s">
        <v>924</v>
      </c>
      <c r="O419" s="65">
        <v>822300</v>
      </c>
      <c r="P419" s="66">
        <f t="shared" si="137"/>
        <v>2059600</v>
      </c>
      <c r="Q419" s="100">
        <v>2881900</v>
      </c>
      <c r="R419" s="100">
        <v>1263700</v>
      </c>
      <c r="S419" s="66">
        <f t="shared" si="133"/>
        <v>-1263700</v>
      </c>
      <c r="T419" s="65"/>
    </row>
    <row r="420" spans="1:20" x14ac:dyDescent="0.2">
      <c r="A420" s="63" t="s">
        <v>618</v>
      </c>
      <c r="B420" s="63" t="s">
        <v>626</v>
      </c>
      <c r="C420" s="63"/>
      <c r="D420" s="63"/>
      <c r="E420" s="74" t="s">
        <v>627</v>
      </c>
      <c r="F420" s="66">
        <f>F421+F423+F425</f>
        <v>0</v>
      </c>
      <c r="G420" s="66">
        <f t="shared" si="136"/>
        <v>0</v>
      </c>
      <c r="H420" s="99">
        <f>H421+H423+H425</f>
        <v>0</v>
      </c>
      <c r="J420" s="63" t="s">
        <v>618</v>
      </c>
      <c r="K420" s="63" t="s">
        <v>626</v>
      </c>
      <c r="L420" s="63"/>
      <c r="M420" s="63"/>
      <c r="N420" s="74" t="s">
        <v>627</v>
      </c>
      <c r="O420" s="66" t="e">
        <f>O421+O423+O425+#REF!+#REF!</f>
        <v>#REF!</v>
      </c>
      <c r="P420" s="66" t="e">
        <f t="shared" si="137"/>
        <v>#REF!</v>
      </c>
      <c r="Q420" s="99">
        <f>Q421+Q423+Q425</f>
        <v>0</v>
      </c>
      <c r="R420" s="99">
        <f>R421+R423+R425</f>
        <v>0</v>
      </c>
      <c r="S420" s="66" t="e">
        <f t="shared" si="133"/>
        <v>#REF!</v>
      </c>
      <c r="T420" s="66" t="e">
        <f>T421+T423+T425+#REF!+#REF!</f>
        <v>#REF!</v>
      </c>
    </row>
    <row r="421" spans="1:20" ht="105" x14ac:dyDescent="0.2">
      <c r="A421" s="63" t="s">
        <v>618</v>
      </c>
      <c r="B421" s="63" t="s">
        <v>626</v>
      </c>
      <c r="C421" s="63" t="s">
        <v>764</v>
      </c>
      <c r="D421" s="63"/>
      <c r="E421" s="74" t="s">
        <v>765</v>
      </c>
      <c r="F421" s="66">
        <f>F422</f>
        <v>0</v>
      </c>
      <c r="G421" s="66">
        <f t="shared" si="136"/>
        <v>0</v>
      </c>
      <c r="H421" s="99">
        <f>H422</f>
        <v>0</v>
      </c>
      <c r="J421" s="63" t="s">
        <v>618</v>
      </c>
      <c r="K421" s="63" t="s">
        <v>626</v>
      </c>
      <c r="L421" s="63" t="s">
        <v>764</v>
      </c>
      <c r="M421" s="63"/>
      <c r="N421" s="74" t="s">
        <v>765</v>
      </c>
      <c r="O421" s="66">
        <f t="shared" ref="O421:T421" si="143">O422</f>
        <v>0</v>
      </c>
      <c r="P421" s="66">
        <f t="shared" si="137"/>
        <v>0</v>
      </c>
      <c r="Q421" s="99">
        <f t="shared" si="143"/>
        <v>0</v>
      </c>
      <c r="R421" s="99">
        <f t="shared" si="143"/>
        <v>0</v>
      </c>
      <c r="S421" s="66">
        <f t="shared" si="133"/>
        <v>0</v>
      </c>
      <c r="T421" s="66">
        <f t="shared" si="143"/>
        <v>0</v>
      </c>
    </row>
    <row r="422" spans="1:20" ht="52.5" x14ac:dyDescent="0.2">
      <c r="A422" s="63" t="s">
        <v>618</v>
      </c>
      <c r="B422" s="63" t="s">
        <v>626</v>
      </c>
      <c r="C422" s="63" t="s">
        <v>764</v>
      </c>
      <c r="D422" s="63" t="s">
        <v>248</v>
      </c>
      <c r="E422" s="74" t="s">
        <v>250</v>
      </c>
      <c r="F422" s="65">
        <v>0</v>
      </c>
      <c r="G422" s="66">
        <f t="shared" si="136"/>
        <v>0</v>
      </c>
      <c r="H422" s="100">
        <v>0</v>
      </c>
      <c r="J422" s="63" t="s">
        <v>618</v>
      </c>
      <c r="K422" s="63" t="s">
        <v>626</v>
      </c>
      <c r="L422" s="63" t="s">
        <v>764</v>
      </c>
      <c r="M422" s="63" t="s">
        <v>248</v>
      </c>
      <c r="N422" s="74" t="s">
        <v>250</v>
      </c>
      <c r="O422" s="65">
        <v>0</v>
      </c>
      <c r="P422" s="66">
        <f t="shared" si="137"/>
        <v>0</v>
      </c>
      <c r="Q422" s="100">
        <v>0</v>
      </c>
      <c r="R422" s="100">
        <v>0</v>
      </c>
      <c r="S422" s="66">
        <f t="shared" si="133"/>
        <v>0</v>
      </c>
      <c r="T422" s="65">
        <v>0</v>
      </c>
    </row>
    <row r="423" spans="1:20" ht="115.5" x14ac:dyDescent="0.2">
      <c r="A423" s="63" t="s">
        <v>618</v>
      </c>
      <c r="B423" s="63" t="s">
        <v>626</v>
      </c>
      <c r="C423" s="63" t="s">
        <v>766</v>
      </c>
      <c r="D423" s="63"/>
      <c r="E423" s="74" t="s">
        <v>767</v>
      </c>
      <c r="F423" s="67">
        <f>F424</f>
        <v>0</v>
      </c>
      <c r="G423" s="66">
        <f t="shared" si="136"/>
        <v>0</v>
      </c>
      <c r="H423" s="101">
        <f>H424</f>
        <v>0</v>
      </c>
      <c r="J423" s="63" t="s">
        <v>618</v>
      </c>
      <c r="K423" s="63" t="s">
        <v>626</v>
      </c>
      <c r="L423" s="63" t="s">
        <v>766</v>
      </c>
      <c r="M423" s="63"/>
      <c r="N423" s="74" t="s">
        <v>767</v>
      </c>
      <c r="O423" s="67">
        <f t="shared" ref="O423:T423" si="144">O424</f>
        <v>0</v>
      </c>
      <c r="P423" s="66">
        <f t="shared" si="137"/>
        <v>0</v>
      </c>
      <c r="Q423" s="101">
        <f t="shared" si="144"/>
        <v>0</v>
      </c>
      <c r="R423" s="101">
        <f t="shared" si="144"/>
        <v>0</v>
      </c>
      <c r="S423" s="66">
        <f t="shared" si="133"/>
        <v>0</v>
      </c>
      <c r="T423" s="67">
        <f t="shared" si="144"/>
        <v>0</v>
      </c>
    </row>
    <row r="424" spans="1:20" ht="52.5" x14ac:dyDescent="0.2">
      <c r="A424" s="63" t="s">
        <v>618</v>
      </c>
      <c r="B424" s="63" t="s">
        <v>626</v>
      </c>
      <c r="C424" s="63" t="s">
        <v>766</v>
      </c>
      <c r="D424" s="63" t="s">
        <v>248</v>
      </c>
      <c r="E424" s="74" t="s">
        <v>250</v>
      </c>
      <c r="F424" s="65">
        <v>0</v>
      </c>
      <c r="G424" s="66">
        <f t="shared" si="136"/>
        <v>0</v>
      </c>
      <c r="H424" s="100">
        <v>0</v>
      </c>
      <c r="J424" s="63" t="s">
        <v>618</v>
      </c>
      <c r="K424" s="63" t="s">
        <v>626</v>
      </c>
      <c r="L424" s="63" t="s">
        <v>766</v>
      </c>
      <c r="M424" s="63" t="s">
        <v>248</v>
      </c>
      <c r="N424" s="74" t="s">
        <v>250</v>
      </c>
      <c r="O424" s="65">
        <v>0</v>
      </c>
      <c r="P424" s="66">
        <f t="shared" si="137"/>
        <v>0</v>
      </c>
      <c r="Q424" s="100">
        <v>0</v>
      </c>
      <c r="R424" s="100">
        <v>0</v>
      </c>
      <c r="S424" s="66">
        <f t="shared" si="133"/>
        <v>0</v>
      </c>
      <c r="T424" s="65">
        <v>0</v>
      </c>
    </row>
    <row r="425" spans="1:20" ht="54.75" customHeight="1" x14ac:dyDescent="0.2">
      <c r="A425" s="63" t="s">
        <v>618</v>
      </c>
      <c r="B425" s="63" t="s">
        <v>626</v>
      </c>
      <c r="C425" s="63" t="s">
        <v>768</v>
      </c>
      <c r="D425" s="63"/>
      <c r="E425" s="74" t="s">
        <v>769</v>
      </c>
      <c r="F425" s="65">
        <f>F426</f>
        <v>0</v>
      </c>
      <c r="G425" s="66">
        <f t="shared" si="136"/>
        <v>0</v>
      </c>
      <c r="H425" s="100">
        <f>H426</f>
        <v>0</v>
      </c>
      <c r="J425" s="63" t="s">
        <v>618</v>
      </c>
      <c r="K425" s="63" t="s">
        <v>626</v>
      </c>
      <c r="L425" s="63" t="s">
        <v>768</v>
      </c>
      <c r="M425" s="63"/>
      <c r="N425" s="74" t="s">
        <v>769</v>
      </c>
      <c r="O425" s="65">
        <f t="shared" ref="O425:T425" si="145">O426</f>
        <v>0</v>
      </c>
      <c r="P425" s="66">
        <f t="shared" si="137"/>
        <v>0</v>
      </c>
      <c r="Q425" s="100">
        <f t="shared" si="145"/>
        <v>0</v>
      </c>
      <c r="R425" s="100">
        <f t="shared" si="145"/>
        <v>0</v>
      </c>
      <c r="S425" s="66">
        <f t="shared" si="133"/>
        <v>0</v>
      </c>
      <c r="T425" s="65">
        <f t="shared" si="145"/>
        <v>0</v>
      </c>
    </row>
    <row r="426" spans="1:20" ht="52.5" x14ac:dyDescent="0.2">
      <c r="A426" s="63" t="s">
        <v>618</v>
      </c>
      <c r="B426" s="63" t="s">
        <v>626</v>
      </c>
      <c r="C426" s="63" t="s">
        <v>768</v>
      </c>
      <c r="D426" s="63" t="s">
        <v>248</v>
      </c>
      <c r="E426" s="74" t="s">
        <v>250</v>
      </c>
      <c r="F426" s="65">
        <v>0</v>
      </c>
      <c r="G426" s="66">
        <f t="shared" si="136"/>
        <v>0</v>
      </c>
      <c r="H426" s="100">
        <v>0</v>
      </c>
      <c r="J426" s="63" t="s">
        <v>618</v>
      </c>
      <c r="K426" s="63" t="s">
        <v>626</v>
      </c>
      <c r="L426" s="63" t="s">
        <v>768</v>
      </c>
      <c r="M426" s="63" t="s">
        <v>248</v>
      </c>
      <c r="N426" s="74" t="s">
        <v>250</v>
      </c>
      <c r="O426" s="65">
        <v>0</v>
      </c>
      <c r="P426" s="66">
        <f t="shared" si="137"/>
        <v>0</v>
      </c>
      <c r="Q426" s="100">
        <v>0</v>
      </c>
      <c r="R426" s="100">
        <v>0</v>
      </c>
      <c r="S426" s="66">
        <f t="shared" si="133"/>
        <v>0</v>
      </c>
      <c r="T426" s="65">
        <v>0</v>
      </c>
    </row>
    <row r="427" spans="1:20" ht="21" x14ac:dyDescent="0.2">
      <c r="A427" s="63" t="s">
        <v>618</v>
      </c>
      <c r="B427" s="63" t="s">
        <v>334</v>
      </c>
      <c r="C427" s="63"/>
      <c r="D427" s="63"/>
      <c r="E427" s="74" t="s">
        <v>336</v>
      </c>
      <c r="F427" s="65">
        <f>F429</f>
        <v>50000</v>
      </c>
      <c r="G427" s="66">
        <f t="shared" si="136"/>
        <v>50000</v>
      </c>
      <c r="H427" s="100">
        <f>H429</f>
        <v>100000</v>
      </c>
      <c r="J427" s="63" t="s">
        <v>618</v>
      </c>
      <c r="K427" s="63" t="s">
        <v>334</v>
      </c>
      <c r="L427" s="63"/>
      <c r="M427" s="63"/>
      <c r="N427" s="74" t="s">
        <v>336</v>
      </c>
      <c r="O427" s="65" t="e">
        <f>#REF!+O429</f>
        <v>#REF!</v>
      </c>
      <c r="P427" s="66" t="e">
        <f t="shared" si="137"/>
        <v>#REF!</v>
      </c>
      <c r="Q427" s="100">
        <f>Q429</f>
        <v>60000</v>
      </c>
      <c r="R427" s="100">
        <f>R429</f>
        <v>60000</v>
      </c>
      <c r="S427" s="66" t="e">
        <f t="shared" si="133"/>
        <v>#REF!</v>
      </c>
      <c r="T427" s="65" t="e">
        <f>#REF!+T429</f>
        <v>#REF!</v>
      </c>
    </row>
    <row r="428" spans="1:20" ht="115.5" x14ac:dyDescent="0.2">
      <c r="A428" s="63" t="s">
        <v>618</v>
      </c>
      <c r="B428" s="63" t="s">
        <v>334</v>
      </c>
      <c r="C428" s="63" t="s">
        <v>888</v>
      </c>
      <c r="D428" s="63"/>
      <c r="E428" s="74" t="s">
        <v>889</v>
      </c>
      <c r="F428" s="65">
        <f t="shared" ref="F428:H429" si="146">F429</f>
        <v>50000</v>
      </c>
      <c r="G428" s="66">
        <f t="shared" si="136"/>
        <v>50000</v>
      </c>
      <c r="H428" s="100">
        <f t="shared" si="146"/>
        <v>100000</v>
      </c>
      <c r="J428" s="63" t="s">
        <v>618</v>
      </c>
      <c r="K428" s="63" t="s">
        <v>334</v>
      </c>
      <c r="L428" s="63" t="s">
        <v>888</v>
      </c>
      <c r="M428" s="63"/>
      <c r="N428" s="74" t="s">
        <v>889</v>
      </c>
      <c r="O428" s="65">
        <f t="shared" ref="O428:T429" si="147">O429</f>
        <v>60000</v>
      </c>
      <c r="P428" s="66">
        <f t="shared" si="137"/>
        <v>0</v>
      </c>
      <c r="Q428" s="100">
        <f t="shared" si="147"/>
        <v>60000</v>
      </c>
      <c r="R428" s="100">
        <f t="shared" si="147"/>
        <v>60000</v>
      </c>
      <c r="S428" s="66">
        <f t="shared" si="133"/>
        <v>-60000</v>
      </c>
      <c r="T428" s="65">
        <f t="shared" si="147"/>
        <v>0</v>
      </c>
    </row>
    <row r="429" spans="1:20" ht="84" x14ac:dyDescent="0.2">
      <c r="A429" s="63" t="s">
        <v>618</v>
      </c>
      <c r="B429" s="63" t="s">
        <v>334</v>
      </c>
      <c r="C429" s="63" t="s">
        <v>763</v>
      </c>
      <c r="D429" s="63"/>
      <c r="E429" s="74" t="s">
        <v>890</v>
      </c>
      <c r="F429" s="65">
        <f t="shared" si="146"/>
        <v>50000</v>
      </c>
      <c r="G429" s="66">
        <f t="shared" si="136"/>
        <v>50000</v>
      </c>
      <c r="H429" s="100">
        <f t="shared" si="146"/>
        <v>100000</v>
      </c>
      <c r="J429" s="63" t="s">
        <v>618</v>
      </c>
      <c r="K429" s="63" t="s">
        <v>334</v>
      </c>
      <c r="L429" s="63" t="s">
        <v>763</v>
      </c>
      <c r="M429" s="63"/>
      <c r="N429" s="74" t="s">
        <v>890</v>
      </c>
      <c r="O429" s="65">
        <f t="shared" si="147"/>
        <v>60000</v>
      </c>
      <c r="P429" s="66">
        <f t="shared" si="137"/>
        <v>0</v>
      </c>
      <c r="Q429" s="100">
        <f t="shared" si="147"/>
        <v>60000</v>
      </c>
      <c r="R429" s="100">
        <f t="shared" si="147"/>
        <v>60000</v>
      </c>
      <c r="S429" s="66">
        <f t="shared" si="133"/>
        <v>-60000</v>
      </c>
      <c r="T429" s="65">
        <f t="shared" si="147"/>
        <v>0</v>
      </c>
    </row>
    <row r="430" spans="1:20" ht="21" x14ac:dyDescent="0.2">
      <c r="A430" s="63" t="s">
        <v>618</v>
      </c>
      <c r="B430" s="63" t="s">
        <v>334</v>
      </c>
      <c r="C430" s="63" t="s">
        <v>763</v>
      </c>
      <c r="D430" s="63" t="s">
        <v>335</v>
      </c>
      <c r="E430" s="74" t="s">
        <v>337</v>
      </c>
      <c r="F430" s="65">
        <v>50000</v>
      </c>
      <c r="G430" s="66">
        <f t="shared" si="136"/>
        <v>50000</v>
      </c>
      <c r="H430" s="100">
        <v>100000</v>
      </c>
      <c r="J430" s="63" t="s">
        <v>618</v>
      </c>
      <c r="K430" s="63" t="s">
        <v>334</v>
      </c>
      <c r="L430" s="63" t="s">
        <v>763</v>
      </c>
      <c r="M430" s="63" t="s">
        <v>335</v>
      </c>
      <c r="N430" s="74" t="s">
        <v>337</v>
      </c>
      <c r="O430" s="65">
        <v>60000</v>
      </c>
      <c r="P430" s="66">
        <f t="shared" si="137"/>
        <v>0</v>
      </c>
      <c r="Q430" s="100">
        <v>60000</v>
      </c>
      <c r="R430" s="100">
        <v>60000</v>
      </c>
      <c r="S430" s="66">
        <f t="shared" si="133"/>
        <v>-60000</v>
      </c>
      <c r="T430" s="65"/>
    </row>
    <row r="431" spans="1:20" ht="52.5" x14ac:dyDescent="0.2">
      <c r="A431" s="63" t="s">
        <v>618</v>
      </c>
      <c r="B431" s="63" t="s">
        <v>386</v>
      </c>
      <c r="C431" s="63"/>
      <c r="D431" s="63"/>
      <c r="E431" s="74" t="s">
        <v>398</v>
      </c>
      <c r="F431" s="65">
        <f>F433+F436</f>
        <v>29022600</v>
      </c>
      <c r="G431" s="66">
        <f t="shared" si="136"/>
        <v>-4946610</v>
      </c>
      <c r="H431" s="100">
        <f>H433+H436</f>
        <v>24075990</v>
      </c>
      <c r="J431" s="63" t="s">
        <v>618</v>
      </c>
      <c r="K431" s="63" t="s">
        <v>386</v>
      </c>
      <c r="L431" s="63"/>
      <c r="M431" s="63"/>
      <c r="N431" s="74" t="s">
        <v>398</v>
      </c>
      <c r="O431" s="65" t="e">
        <f>O433+O436+#REF!+#REF!</f>
        <v>#REF!</v>
      </c>
      <c r="P431" s="66" t="e">
        <f t="shared" si="137"/>
        <v>#REF!</v>
      </c>
      <c r="Q431" s="100">
        <f>Q433+Q436</f>
        <v>24075990</v>
      </c>
      <c r="R431" s="100">
        <f>R433+R436</f>
        <v>24075990</v>
      </c>
      <c r="S431" s="66" t="e">
        <f t="shared" si="133"/>
        <v>#REF!</v>
      </c>
      <c r="T431" s="65" t="e">
        <f>T433+T436+#REF!+#REF!</f>
        <v>#REF!</v>
      </c>
    </row>
    <row r="432" spans="1:20" ht="115.5" x14ac:dyDescent="0.2">
      <c r="A432" s="63" t="s">
        <v>618</v>
      </c>
      <c r="B432" s="63" t="s">
        <v>386</v>
      </c>
      <c r="C432" s="63" t="s">
        <v>888</v>
      </c>
      <c r="D432" s="63"/>
      <c r="E432" s="74" t="s">
        <v>889</v>
      </c>
      <c r="F432" s="65">
        <f t="shared" ref="F432:H433" si="148">F433</f>
        <v>18126000</v>
      </c>
      <c r="G432" s="66">
        <f t="shared" si="136"/>
        <v>-4771110</v>
      </c>
      <c r="H432" s="100">
        <f t="shared" si="148"/>
        <v>13354890</v>
      </c>
      <c r="J432" s="63" t="s">
        <v>618</v>
      </c>
      <c r="K432" s="63" t="s">
        <v>386</v>
      </c>
      <c r="L432" s="63" t="s">
        <v>888</v>
      </c>
      <c r="M432" s="63"/>
      <c r="N432" s="74" t="s">
        <v>889</v>
      </c>
      <c r="O432" s="65">
        <f t="shared" ref="O432:T433" si="149">O433</f>
        <v>18126000</v>
      </c>
      <c r="P432" s="66">
        <f t="shared" si="137"/>
        <v>-4771110</v>
      </c>
      <c r="Q432" s="100">
        <f t="shared" si="149"/>
        <v>13354890</v>
      </c>
      <c r="R432" s="100">
        <f t="shared" si="149"/>
        <v>13354890</v>
      </c>
      <c r="S432" s="66">
        <f t="shared" si="133"/>
        <v>-13354890</v>
      </c>
      <c r="T432" s="65">
        <f t="shared" si="149"/>
        <v>0</v>
      </c>
    </row>
    <row r="433" spans="1:20" ht="94.5" x14ac:dyDescent="0.2">
      <c r="A433" s="63" t="s">
        <v>618</v>
      </c>
      <c r="B433" s="63" t="s">
        <v>386</v>
      </c>
      <c r="C433" s="63" t="s">
        <v>770</v>
      </c>
      <c r="D433" s="63"/>
      <c r="E433" s="74" t="s">
        <v>891</v>
      </c>
      <c r="F433" s="65">
        <f t="shared" si="148"/>
        <v>18126000</v>
      </c>
      <c r="G433" s="66">
        <f t="shared" si="136"/>
        <v>-4771110</v>
      </c>
      <c r="H433" s="100">
        <f t="shared" si="148"/>
        <v>13354890</v>
      </c>
      <c r="J433" s="63" t="s">
        <v>618</v>
      </c>
      <c r="K433" s="63" t="s">
        <v>386</v>
      </c>
      <c r="L433" s="63" t="s">
        <v>770</v>
      </c>
      <c r="M433" s="63"/>
      <c r="N433" s="74" t="s">
        <v>891</v>
      </c>
      <c r="O433" s="65">
        <f t="shared" si="149"/>
        <v>18126000</v>
      </c>
      <c r="P433" s="66">
        <f t="shared" si="137"/>
        <v>-4771110</v>
      </c>
      <c r="Q433" s="100">
        <f t="shared" si="149"/>
        <v>13354890</v>
      </c>
      <c r="R433" s="100">
        <f t="shared" si="149"/>
        <v>13354890</v>
      </c>
      <c r="S433" s="66">
        <f t="shared" si="133"/>
        <v>-13354890</v>
      </c>
      <c r="T433" s="65">
        <f t="shared" si="149"/>
        <v>0</v>
      </c>
    </row>
    <row r="434" spans="1:20" ht="42" x14ac:dyDescent="0.2">
      <c r="A434" s="63" t="s">
        <v>618</v>
      </c>
      <c r="B434" s="63" t="s">
        <v>386</v>
      </c>
      <c r="C434" s="63" t="s">
        <v>770</v>
      </c>
      <c r="D434" s="63" t="s">
        <v>444</v>
      </c>
      <c r="E434" s="74" t="s">
        <v>445</v>
      </c>
      <c r="F434" s="65">
        <v>18126000</v>
      </c>
      <c r="G434" s="66">
        <f t="shared" si="136"/>
        <v>-4771110</v>
      </c>
      <c r="H434" s="100">
        <v>13354890</v>
      </c>
      <c r="J434" s="63" t="s">
        <v>618</v>
      </c>
      <c r="K434" s="63" t="s">
        <v>386</v>
      </c>
      <c r="L434" s="63" t="s">
        <v>770</v>
      </c>
      <c r="M434" s="63" t="s">
        <v>444</v>
      </c>
      <c r="N434" s="74" t="s">
        <v>445</v>
      </c>
      <c r="O434" s="65">
        <v>18126000</v>
      </c>
      <c r="P434" s="66">
        <f t="shared" si="137"/>
        <v>-4771110</v>
      </c>
      <c r="Q434" s="100">
        <v>13354890</v>
      </c>
      <c r="R434" s="100">
        <v>13354890</v>
      </c>
      <c r="S434" s="66">
        <f t="shared" si="133"/>
        <v>-13354890</v>
      </c>
      <c r="T434" s="65"/>
    </row>
    <row r="435" spans="1:20" ht="115.5" x14ac:dyDescent="0.2">
      <c r="A435" s="63" t="s">
        <v>618</v>
      </c>
      <c r="B435" s="63" t="s">
        <v>386</v>
      </c>
      <c r="C435" s="63" t="s">
        <v>882</v>
      </c>
      <c r="D435" s="63"/>
      <c r="E435" s="74" t="s">
        <v>883</v>
      </c>
      <c r="F435" s="65">
        <f t="shared" ref="F435:H436" si="150">F436</f>
        <v>10896600</v>
      </c>
      <c r="G435" s="66">
        <f t="shared" si="136"/>
        <v>-175500</v>
      </c>
      <c r="H435" s="100">
        <f t="shared" si="150"/>
        <v>10721100</v>
      </c>
      <c r="J435" s="63" t="s">
        <v>618</v>
      </c>
      <c r="K435" s="63" t="s">
        <v>386</v>
      </c>
      <c r="L435" s="63" t="s">
        <v>882</v>
      </c>
      <c r="M435" s="63"/>
      <c r="N435" s="74" t="s">
        <v>883</v>
      </c>
      <c r="O435" s="65">
        <f t="shared" ref="O435:T436" si="151">O436</f>
        <v>10896600</v>
      </c>
      <c r="P435" s="66">
        <f t="shared" si="137"/>
        <v>-175500</v>
      </c>
      <c r="Q435" s="100">
        <f t="shared" si="151"/>
        <v>10721100</v>
      </c>
      <c r="R435" s="100">
        <f t="shared" si="151"/>
        <v>10721100</v>
      </c>
      <c r="S435" s="66">
        <f t="shared" si="133"/>
        <v>-10721100</v>
      </c>
      <c r="T435" s="65">
        <f t="shared" si="151"/>
        <v>0</v>
      </c>
    </row>
    <row r="436" spans="1:20" ht="105" x14ac:dyDescent="0.2">
      <c r="A436" s="63" t="s">
        <v>618</v>
      </c>
      <c r="B436" s="63" t="s">
        <v>386</v>
      </c>
      <c r="C436" s="63" t="s">
        <v>771</v>
      </c>
      <c r="D436" s="63"/>
      <c r="E436" s="74" t="s">
        <v>892</v>
      </c>
      <c r="F436" s="65">
        <f t="shared" si="150"/>
        <v>10896600</v>
      </c>
      <c r="G436" s="66">
        <f t="shared" si="136"/>
        <v>-175500</v>
      </c>
      <c r="H436" s="100">
        <f t="shared" si="150"/>
        <v>10721100</v>
      </c>
      <c r="J436" s="63" t="s">
        <v>618</v>
      </c>
      <c r="K436" s="63" t="s">
        <v>386</v>
      </c>
      <c r="L436" s="63" t="s">
        <v>771</v>
      </c>
      <c r="M436" s="63"/>
      <c r="N436" s="74" t="s">
        <v>892</v>
      </c>
      <c r="O436" s="65">
        <f t="shared" si="151"/>
        <v>10896600</v>
      </c>
      <c r="P436" s="66">
        <f t="shared" si="137"/>
        <v>-175500</v>
      </c>
      <c r="Q436" s="100">
        <f t="shared" si="151"/>
        <v>10721100</v>
      </c>
      <c r="R436" s="100">
        <f t="shared" si="151"/>
        <v>10721100</v>
      </c>
      <c r="S436" s="66">
        <f t="shared" si="133"/>
        <v>-10721100</v>
      </c>
      <c r="T436" s="65">
        <f t="shared" si="151"/>
        <v>0</v>
      </c>
    </row>
    <row r="437" spans="1:20" ht="42" x14ac:dyDescent="0.2">
      <c r="A437" s="63" t="s">
        <v>618</v>
      </c>
      <c r="B437" s="63" t="s">
        <v>386</v>
      </c>
      <c r="C437" s="63" t="s">
        <v>771</v>
      </c>
      <c r="D437" s="63" t="s">
        <v>444</v>
      </c>
      <c r="E437" s="74" t="s">
        <v>445</v>
      </c>
      <c r="F437" s="65">
        <v>10896600</v>
      </c>
      <c r="G437" s="66">
        <f t="shared" si="136"/>
        <v>-175500</v>
      </c>
      <c r="H437" s="100">
        <v>10721100</v>
      </c>
      <c r="J437" s="63" t="s">
        <v>618</v>
      </c>
      <c r="K437" s="63" t="s">
        <v>386</v>
      </c>
      <c r="L437" s="63" t="s">
        <v>771</v>
      </c>
      <c r="M437" s="63" t="s">
        <v>444</v>
      </c>
      <c r="N437" s="74" t="s">
        <v>445</v>
      </c>
      <c r="O437" s="65">
        <v>10896600</v>
      </c>
      <c r="P437" s="66">
        <f t="shared" si="137"/>
        <v>-175500</v>
      </c>
      <c r="Q437" s="100">
        <v>10721100</v>
      </c>
      <c r="R437" s="100">
        <v>10721100</v>
      </c>
      <c r="S437" s="66">
        <f t="shared" si="133"/>
        <v>-10721100</v>
      </c>
      <c r="T437" s="65"/>
    </row>
    <row r="438" spans="1:20" ht="21" x14ac:dyDescent="0.2">
      <c r="A438" s="63" t="s">
        <v>618</v>
      </c>
      <c r="B438" s="63" t="s">
        <v>387</v>
      </c>
      <c r="C438" s="63"/>
      <c r="D438" s="63"/>
      <c r="E438" s="74" t="s">
        <v>893</v>
      </c>
      <c r="F438" s="65">
        <f>F440</f>
        <v>800000</v>
      </c>
      <c r="G438" s="66">
        <f t="shared" si="136"/>
        <v>1765370</v>
      </c>
      <c r="H438" s="100">
        <f>H440</f>
        <v>2565370</v>
      </c>
      <c r="J438" s="63" t="s">
        <v>618</v>
      </c>
      <c r="K438" s="63" t="s">
        <v>387</v>
      </c>
      <c r="L438" s="63"/>
      <c r="M438" s="63"/>
      <c r="N438" s="74" t="s">
        <v>893</v>
      </c>
      <c r="O438" s="65">
        <f t="shared" ref="O438:T438" si="152">O440</f>
        <v>800000</v>
      </c>
      <c r="P438" s="66">
        <f t="shared" si="137"/>
        <v>1765370</v>
      </c>
      <c r="Q438" s="100">
        <f t="shared" si="152"/>
        <v>2565370</v>
      </c>
      <c r="R438" s="100">
        <f t="shared" si="152"/>
        <v>2565370</v>
      </c>
      <c r="S438" s="66">
        <f t="shared" si="133"/>
        <v>-2565370</v>
      </c>
      <c r="T438" s="65">
        <f t="shared" si="152"/>
        <v>0</v>
      </c>
    </row>
    <row r="439" spans="1:20" ht="115.5" x14ac:dyDescent="0.2">
      <c r="A439" s="63" t="s">
        <v>618</v>
      </c>
      <c r="B439" s="63" t="s">
        <v>387</v>
      </c>
      <c r="C439" s="63" t="s">
        <v>888</v>
      </c>
      <c r="D439" s="63"/>
      <c r="E439" s="74" t="s">
        <v>889</v>
      </c>
      <c r="F439" s="65">
        <f t="shared" ref="F439:H440" si="153">F440</f>
        <v>800000</v>
      </c>
      <c r="G439" s="66">
        <f t="shared" si="136"/>
        <v>1765370</v>
      </c>
      <c r="H439" s="100">
        <f t="shared" si="153"/>
        <v>2565370</v>
      </c>
      <c r="J439" s="63" t="s">
        <v>618</v>
      </c>
      <c r="K439" s="63" t="s">
        <v>387</v>
      </c>
      <c r="L439" s="63" t="s">
        <v>888</v>
      </c>
      <c r="M439" s="63"/>
      <c r="N439" s="74" t="s">
        <v>889</v>
      </c>
      <c r="O439" s="65">
        <f t="shared" ref="O439:T440" si="154">O440</f>
        <v>800000</v>
      </c>
      <c r="P439" s="66">
        <f t="shared" si="137"/>
        <v>1765370</v>
      </c>
      <c r="Q439" s="100">
        <f t="shared" si="154"/>
        <v>2565370</v>
      </c>
      <c r="R439" s="100">
        <f t="shared" si="154"/>
        <v>2565370</v>
      </c>
      <c r="S439" s="66">
        <f t="shared" si="133"/>
        <v>-2565370</v>
      </c>
      <c r="T439" s="65">
        <f t="shared" si="154"/>
        <v>0</v>
      </c>
    </row>
    <row r="440" spans="1:20" ht="73.5" x14ac:dyDescent="0.2">
      <c r="A440" s="63" t="s">
        <v>618</v>
      </c>
      <c r="B440" s="63" t="s">
        <v>387</v>
      </c>
      <c r="C440" s="63" t="s">
        <v>894</v>
      </c>
      <c r="D440" s="63"/>
      <c r="E440" s="74" t="s">
        <v>895</v>
      </c>
      <c r="F440" s="65">
        <f t="shared" si="153"/>
        <v>800000</v>
      </c>
      <c r="G440" s="66">
        <f t="shared" si="136"/>
        <v>1765370</v>
      </c>
      <c r="H440" s="100">
        <f t="shared" si="153"/>
        <v>2565370</v>
      </c>
      <c r="J440" s="63" t="s">
        <v>618</v>
      </c>
      <c r="K440" s="63" t="s">
        <v>387</v>
      </c>
      <c r="L440" s="63" t="s">
        <v>894</v>
      </c>
      <c r="M440" s="63"/>
      <c r="N440" s="74" t="s">
        <v>895</v>
      </c>
      <c r="O440" s="65">
        <f t="shared" si="154"/>
        <v>800000</v>
      </c>
      <c r="P440" s="66">
        <f t="shared" si="137"/>
        <v>1765370</v>
      </c>
      <c r="Q440" s="100">
        <f t="shared" si="154"/>
        <v>2565370</v>
      </c>
      <c r="R440" s="100">
        <f t="shared" si="154"/>
        <v>2565370</v>
      </c>
      <c r="S440" s="66">
        <f t="shared" si="133"/>
        <v>-2565370</v>
      </c>
      <c r="T440" s="65">
        <f t="shared" si="154"/>
        <v>0</v>
      </c>
    </row>
    <row r="441" spans="1:20" ht="21" x14ac:dyDescent="0.2">
      <c r="A441" s="63" t="s">
        <v>618</v>
      </c>
      <c r="B441" s="63" t="s">
        <v>387</v>
      </c>
      <c r="C441" s="63" t="s">
        <v>894</v>
      </c>
      <c r="D441" s="63" t="s">
        <v>896</v>
      </c>
      <c r="E441" s="74" t="s">
        <v>662</v>
      </c>
      <c r="F441" s="65">
        <v>800000</v>
      </c>
      <c r="G441" s="66">
        <f t="shared" si="136"/>
        <v>1765370</v>
      </c>
      <c r="H441" s="100">
        <v>2565370</v>
      </c>
      <c r="J441" s="63" t="s">
        <v>618</v>
      </c>
      <c r="K441" s="63" t="s">
        <v>387</v>
      </c>
      <c r="L441" s="63" t="s">
        <v>894</v>
      </c>
      <c r="M441" s="63" t="s">
        <v>896</v>
      </c>
      <c r="N441" s="74" t="s">
        <v>662</v>
      </c>
      <c r="O441" s="65">
        <v>800000</v>
      </c>
      <c r="P441" s="66">
        <f t="shared" si="137"/>
        <v>1765370</v>
      </c>
      <c r="Q441" s="100">
        <v>2565370</v>
      </c>
      <c r="R441" s="100">
        <v>2565370</v>
      </c>
      <c r="S441" s="66">
        <f>T441-R441</f>
        <v>-2565370</v>
      </c>
      <c r="T441" s="65"/>
    </row>
    <row r="442" spans="1:20" ht="21" x14ac:dyDescent="0.2">
      <c r="A442" s="63"/>
      <c r="B442" s="63" t="s">
        <v>258</v>
      </c>
      <c r="C442" s="63" t="s">
        <v>772</v>
      </c>
      <c r="D442" s="63" t="s">
        <v>259</v>
      </c>
      <c r="E442" s="74" t="s">
        <v>257</v>
      </c>
      <c r="F442" s="85">
        <f>9360122+100930</f>
        <v>9461052</v>
      </c>
      <c r="G442" s="66">
        <f t="shared" si="136"/>
        <v>-9461052</v>
      </c>
      <c r="H442" s="102">
        <v>0</v>
      </c>
      <c r="J442" s="63"/>
      <c r="K442" s="63" t="s">
        <v>258</v>
      </c>
      <c r="L442" s="63" t="s">
        <v>772</v>
      </c>
      <c r="M442" s="63" t="s">
        <v>259</v>
      </c>
      <c r="N442" s="74" t="s">
        <v>257</v>
      </c>
      <c r="O442" s="85">
        <f>18765365+201860</f>
        <v>18967225</v>
      </c>
      <c r="P442" s="66">
        <f t="shared" si="137"/>
        <v>-10246357</v>
      </c>
      <c r="Q442" s="102">
        <v>8720868</v>
      </c>
      <c r="R442" s="102">
        <v>17406850</v>
      </c>
      <c r="S442" s="66">
        <f>T442-R442</f>
        <v>-17406850</v>
      </c>
      <c r="T442" s="85"/>
    </row>
    <row r="443" spans="1:20" x14ac:dyDescent="0.2">
      <c r="A443" s="114" t="s">
        <v>54</v>
      </c>
      <c r="B443" s="115"/>
      <c r="C443" s="115"/>
      <c r="D443" s="115"/>
      <c r="E443" s="116"/>
      <c r="F443" s="68" t="e">
        <f>F16+F244+F301+F397+F442</f>
        <v>#REF!</v>
      </c>
      <c r="G443" s="68" t="e">
        <f>G16+G244+G301+G397+G442</f>
        <v>#REF!</v>
      </c>
      <c r="H443" s="97">
        <f>H16+H244+H301+H397+H442</f>
        <v>342561790</v>
      </c>
      <c r="J443" s="114" t="s">
        <v>54</v>
      </c>
      <c r="K443" s="115"/>
      <c r="L443" s="115"/>
      <c r="M443" s="115"/>
      <c r="N443" s="116"/>
      <c r="O443" s="68" t="e">
        <f t="shared" ref="O443:T443" si="155">O16+O244+O301+O397+O442</f>
        <v>#REF!</v>
      </c>
      <c r="P443" s="68" t="e">
        <f t="shared" si="155"/>
        <v>#REF!</v>
      </c>
      <c r="Q443" s="97">
        <f t="shared" si="155"/>
        <v>348583950</v>
      </c>
      <c r="R443" s="97">
        <f t="shared" si="155"/>
        <v>348136810</v>
      </c>
      <c r="S443" s="68" t="e">
        <f t="shared" si="155"/>
        <v>#REF!</v>
      </c>
      <c r="T443" s="68" t="e">
        <f t="shared" si="155"/>
        <v>#REF!</v>
      </c>
    </row>
    <row r="444" spans="1:20" x14ac:dyDescent="0.2">
      <c r="O444" s="80"/>
      <c r="P444" s="80"/>
      <c r="Q444" s="96"/>
      <c r="R444" s="96"/>
      <c r="S444" s="80"/>
      <c r="T444" s="80"/>
    </row>
    <row r="445" spans="1:20" x14ac:dyDescent="0.2">
      <c r="H445" s="96">
        <f>343561790-1000000</f>
        <v>342561790</v>
      </c>
      <c r="O445" s="80"/>
      <c r="P445" s="80"/>
      <c r="Q445" s="96">
        <v>348583950</v>
      </c>
      <c r="R445" s="96">
        <v>348136810</v>
      </c>
      <c r="S445" s="80"/>
      <c r="T445" s="80"/>
    </row>
    <row r="446" spans="1:20" x14ac:dyDescent="0.2">
      <c r="F446" s="86">
        <v>378442060</v>
      </c>
      <c r="G446" s="86"/>
      <c r="H446" s="103"/>
      <c r="O446" s="80">
        <v>380166735</v>
      </c>
      <c r="P446" s="80"/>
      <c r="Q446" s="96"/>
      <c r="R446" s="96"/>
      <c r="S446" s="80"/>
      <c r="T446" s="80"/>
    </row>
    <row r="447" spans="1:20" x14ac:dyDescent="0.2">
      <c r="H447" s="96">
        <f>H445-H443</f>
        <v>0</v>
      </c>
      <c r="Q447" s="96">
        <f>Q445-Q443</f>
        <v>0</v>
      </c>
      <c r="R447" s="96">
        <f>R445-R443</f>
        <v>0</v>
      </c>
    </row>
    <row r="621" spans="8:8" s="79" customFormat="1" x14ac:dyDescent="0.2">
      <c r="H621" s="104"/>
    </row>
    <row r="622" spans="8:8" s="79" customFormat="1" x14ac:dyDescent="0.2">
      <c r="H622" s="104"/>
    </row>
    <row r="623" spans="8:8" s="79" customFormat="1" x14ac:dyDescent="0.2">
      <c r="H623" s="104"/>
    </row>
    <row r="624" spans="8:8" s="79" customFormat="1" x14ac:dyDescent="0.2">
      <c r="H624" s="104"/>
    </row>
    <row r="625" spans="8:8" s="79" customFormat="1" x14ac:dyDescent="0.2">
      <c r="H625" s="104"/>
    </row>
    <row r="626" spans="8:8" s="79" customFormat="1" x14ac:dyDescent="0.2">
      <c r="H626" s="104"/>
    </row>
    <row r="627" spans="8:8" s="79" customFormat="1" x14ac:dyDescent="0.2">
      <c r="H627" s="104"/>
    </row>
    <row r="628" spans="8:8" s="79" customFormat="1" x14ac:dyDescent="0.2">
      <c r="H628" s="104"/>
    </row>
    <row r="629" spans="8:8" s="79" customFormat="1" x14ac:dyDescent="0.2">
      <c r="H629" s="104"/>
    </row>
    <row r="630" spans="8:8" s="79" customFormat="1" x14ac:dyDescent="0.2">
      <c r="H630" s="104"/>
    </row>
    <row r="631" spans="8:8" s="79" customFormat="1" x14ac:dyDescent="0.2">
      <c r="H631" s="104"/>
    </row>
    <row r="632" spans="8:8" s="79" customFormat="1" x14ac:dyDescent="0.2">
      <c r="H632" s="104"/>
    </row>
    <row r="633" spans="8:8" s="79" customFormat="1" x14ac:dyDescent="0.2">
      <c r="H633" s="104"/>
    </row>
    <row r="634" spans="8:8" s="79" customFormat="1" x14ac:dyDescent="0.2">
      <c r="H634" s="104"/>
    </row>
    <row r="635" spans="8:8" s="79" customFormat="1" x14ac:dyDescent="0.2">
      <c r="H635" s="104"/>
    </row>
    <row r="636" spans="8:8" s="79" customFormat="1" x14ac:dyDescent="0.2">
      <c r="H636" s="104"/>
    </row>
    <row r="637" spans="8:8" s="79" customFormat="1" x14ac:dyDescent="0.2">
      <c r="H637" s="104"/>
    </row>
    <row r="638" spans="8:8" s="79" customFormat="1" x14ac:dyDescent="0.2">
      <c r="H638" s="104"/>
    </row>
    <row r="639" spans="8:8" s="79" customFormat="1" x14ac:dyDescent="0.2">
      <c r="H639" s="104"/>
    </row>
    <row r="640" spans="8:8" s="79" customFormat="1" x14ac:dyDescent="0.2">
      <c r="H640" s="104"/>
    </row>
    <row r="641" spans="8:8" s="79" customFormat="1" x14ac:dyDescent="0.2">
      <c r="H641" s="104"/>
    </row>
    <row r="642" spans="8:8" s="79" customFormat="1" x14ac:dyDescent="0.2">
      <c r="H642" s="104"/>
    </row>
    <row r="643" spans="8:8" s="79" customFormat="1" x14ac:dyDescent="0.2">
      <c r="H643" s="104"/>
    </row>
    <row r="644" spans="8:8" s="79" customFormat="1" x14ac:dyDescent="0.2">
      <c r="H644" s="104"/>
    </row>
    <row r="645" spans="8:8" s="79" customFormat="1" x14ac:dyDescent="0.2">
      <c r="H645" s="104"/>
    </row>
    <row r="646" spans="8:8" s="79" customFormat="1" x14ac:dyDescent="0.2">
      <c r="H646" s="104"/>
    </row>
    <row r="647" spans="8:8" s="79" customFormat="1" x14ac:dyDescent="0.2">
      <c r="H647" s="104"/>
    </row>
    <row r="648" spans="8:8" s="79" customFormat="1" x14ac:dyDescent="0.2">
      <c r="H648" s="104"/>
    </row>
    <row r="649" spans="8:8" s="79" customFormat="1" x14ac:dyDescent="0.2">
      <c r="H649" s="104"/>
    </row>
    <row r="650" spans="8:8" s="79" customFormat="1" x14ac:dyDescent="0.2">
      <c r="H650" s="104"/>
    </row>
    <row r="651" spans="8:8" s="79" customFormat="1" x14ac:dyDescent="0.2">
      <c r="H651" s="104"/>
    </row>
    <row r="652" spans="8:8" s="79" customFormat="1" x14ac:dyDescent="0.2">
      <c r="H652" s="104"/>
    </row>
    <row r="653" spans="8:8" s="79" customFormat="1" x14ac:dyDescent="0.2">
      <c r="H653" s="104"/>
    </row>
    <row r="654" spans="8:8" s="79" customFormat="1" x14ac:dyDescent="0.2">
      <c r="H654" s="104"/>
    </row>
    <row r="655" spans="8:8" s="79" customFormat="1" x14ac:dyDescent="0.2">
      <c r="H655" s="104"/>
    </row>
    <row r="656" spans="8:8" s="79" customFormat="1" x14ac:dyDescent="0.2">
      <c r="H656" s="104"/>
    </row>
    <row r="657" spans="8:11" s="79" customFormat="1" x14ac:dyDescent="0.2">
      <c r="H657" s="104"/>
    </row>
    <row r="658" spans="8:11" s="79" customFormat="1" x14ac:dyDescent="0.2">
      <c r="H658" s="104"/>
    </row>
    <row r="659" spans="8:11" s="79" customFormat="1" x14ac:dyDescent="0.2">
      <c r="H659" s="104"/>
    </row>
    <row r="660" spans="8:11" s="79" customFormat="1" x14ac:dyDescent="0.2">
      <c r="H660" s="104"/>
    </row>
    <row r="661" spans="8:11" s="79" customFormat="1" x14ac:dyDescent="0.2">
      <c r="H661" s="104"/>
    </row>
    <row r="662" spans="8:11" s="79" customFormat="1" x14ac:dyDescent="0.2">
      <c r="H662" s="104"/>
    </row>
    <row r="663" spans="8:11" s="79" customFormat="1" x14ac:dyDescent="0.2">
      <c r="H663" s="104"/>
    </row>
    <row r="664" spans="8:11" s="79" customFormat="1" x14ac:dyDescent="0.2">
      <c r="H664" s="104"/>
    </row>
    <row r="665" spans="8:11" s="79" customFormat="1" x14ac:dyDescent="0.2">
      <c r="H665" s="104"/>
    </row>
    <row r="666" spans="8:11" s="79" customFormat="1" x14ac:dyDescent="0.2">
      <c r="H666" s="104"/>
    </row>
    <row r="667" spans="8:11" s="79" customFormat="1" x14ac:dyDescent="0.2">
      <c r="H667" s="104"/>
      <c r="I667" s="84"/>
      <c r="J667" s="84"/>
      <c r="K667" s="84"/>
    </row>
    <row r="668" spans="8:11" s="79" customFormat="1" x14ac:dyDescent="0.2">
      <c r="H668" s="104"/>
      <c r="I668" s="84"/>
      <c r="J668" s="84"/>
      <c r="K668" s="84"/>
    </row>
    <row r="669" spans="8:11" s="79" customFormat="1" x14ac:dyDescent="0.2">
      <c r="H669" s="104"/>
      <c r="I669" s="84"/>
      <c r="J669" s="84"/>
      <c r="K669" s="84"/>
    </row>
    <row r="670" spans="8:11" s="79" customFormat="1" x14ac:dyDescent="0.2">
      <c r="H670" s="104"/>
      <c r="I670" s="84"/>
      <c r="J670" s="84"/>
      <c r="K670" s="84"/>
    </row>
    <row r="671" spans="8:11" s="79" customFormat="1" x14ac:dyDescent="0.2">
      <c r="H671" s="104"/>
      <c r="I671" s="84"/>
      <c r="J671" s="84"/>
      <c r="K671" s="84"/>
    </row>
    <row r="672" spans="8:11" s="79" customFormat="1" x14ac:dyDescent="0.2">
      <c r="H672" s="104"/>
      <c r="I672" s="84"/>
      <c r="J672" s="84"/>
      <c r="K672" s="84"/>
    </row>
    <row r="673" spans="8:11" s="79" customFormat="1" x14ac:dyDescent="0.2">
      <c r="H673" s="104"/>
      <c r="I673" s="84"/>
      <c r="J673" s="84"/>
      <c r="K673" s="84"/>
    </row>
    <row r="674" spans="8:11" s="79" customFormat="1" x14ac:dyDescent="0.2">
      <c r="H674" s="104"/>
      <c r="I674" s="84"/>
      <c r="J674" s="84"/>
      <c r="K674" s="84"/>
    </row>
    <row r="675" spans="8:11" s="79" customFormat="1" x14ac:dyDescent="0.2">
      <c r="H675" s="104"/>
      <c r="I675" s="84"/>
      <c r="J675" s="84"/>
      <c r="K675" s="84"/>
    </row>
    <row r="676" spans="8:11" s="79" customFormat="1" x14ac:dyDescent="0.2">
      <c r="H676" s="104"/>
      <c r="I676" s="84"/>
      <c r="J676" s="84"/>
      <c r="K676" s="84"/>
    </row>
    <row r="677" spans="8:11" s="79" customFormat="1" x14ac:dyDescent="0.2">
      <c r="H677" s="104"/>
      <c r="I677" s="84"/>
      <c r="J677" s="84"/>
      <c r="K677" s="84"/>
    </row>
    <row r="678" spans="8:11" s="79" customFormat="1" x14ac:dyDescent="0.2">
      <c r="H678" s="104"/>
      <c r="I678" s="84"/>
      <c r="J678" s="84"/>
      <c r="K678" s="84"/>
    </row>
    <row r="679" spans="8:11" s="79" customFormat="1" x14ac:dyDescent="0.2">
      <c r="H679" s="104"/>
      <c r="I679" s="84"/>
      <c r="J679" s="84"/>
      <c r="K679" s="84"/>
    </row>
    <row r="680" spans="8:11" s="79" customFormat="1" x14ac:dyDescent="0.2">
      <c r="H680" s="104"/>
      <c r="I680" s="84"/>
      <c r="J680" s="84"/>
      <c r="K680" s="84"/>
    </row>
    <row r="681" spans="8:11" s="79" customFormat="1" x14ac:dyDescent="0.2">
      <c r="H681" s="104"/>
      <c r="I681" s="84"/>
      <c r="J681" s="84"/>
      <c r="K681" s="84"/>
    </row>
    <row r="682" spans="8:11" s="79" customFormat="1" x14ac:dyDescent="0.2">
      <c r="H682" s="104"/>
      <c r="I682" s="84"/>
      <c r="J682" s="84"/>
      <c r="K682" s="84"/>
    </row>
    <row r="683" spans="8:11" s="79" customFormat="1" x14ac:dyDescent="0.2">
      <c r="H683" s="104"/>
      <c r="I683" s="84"/>
      <c r="J683" s="84"/>
      <c r="K683" s="84"/>
    </row>
    <row r="684" spans="8:11" s="79" customFormat="1" x14ac:dyDescent="0.2">
      <c r="H684" s="104"/>
      <c r="I684" s="84"/>
      <c r="J684" s="84"/>
      <c r="K684" s="84"/>
    </row>
    <row r="685" spans="8:11" s="79" customFormat="1" x14ac:dyDescent="0.2">
      <c r="H685" s="104"/>
      <c r="I685" s="84"/>
      <c r="J685" s="84"/>
      <c r="K685" s="84"/>
    </row>
    <row r="686" spans="8:11" s="79" customFormat="1" x14ac:dyDescent="0.2">
      <c r="H686" s="104"/>
      <c r="I686" s="84"/>
      <c r="J686" s="84"/>
      <c r="K686" s="84"/>
    </row>
    <row r="687" spans="8:11" s="79" customFormat="1" x14ac:dyDescent="0.2">
      <c r="H687" s="104"/>
    </row>
    <row r="688" spans="8:11" s="79" customFormat="1" x14ac:dyDescent="0.2">
      <c r="H688" s="104"/>
    </row>
    <row r="689" spans="8:8" s="79" customFormat="1" x14ac:dyDescent="0.2">
      <c r="H689" s="104"/>
    </row>
    <row r="690" spans="8:8" s="79" customFormat="1" x14ac:dyDescent="0.2">
      <c r="H690" s="104"/>
    </row>
    <row r="691" spans="8:8" s="79" customFormat="1" x14ac:dyDescent="0.2">
      <c r="H691" s="104"/>
    </row>
    <row r="692" spans="8:8" s="79" customFormat="1" x14ac:dyDescent="0.2">
      <c r="H692" s="104"/>
    </row>
    <row r="693" spans="8:8" s="79" customFormat="1" x14ac:dyDescent="0.2">
      <c r="H693" s="104"/>
    </row>
    <row r="694" spans="8:8" s="79" customFormat="1" x14ac:dyDescent="0.2">
      <c r="H694" s="104"/>
    </row>
    <row r="695" spans="8:8" s="79" customFormat="1" x14ac:dyDescent="0.2">
      <c r="H695" s="104"/>
    </row>
    <row r="696" spans="8:8" s="79" customFormat="1" x14ac:dyDescent="0.2">
      <c r="H696" s="104"/>
    </row>
    <row r="697" spans="8:8" s="79" customFormat="1" x14ac:dyDescent="0.2">
      <c r="H697" s="104"/>
    </row>
    <row r="698" spans="8:8" s="79" customFormat="1" x14ac:dyDescent="0.2">
      <c r="H698" s="104"/>
    </row>
    <row r="699" spans="8:8" s="79" customFormat="1" x14ac:dyDescent="0.2">
      <c r="H699" s="104"/>
    </row>
    <row r="700" spans="8:8" s="79" customFormat="1" x14ac:dyDescent="0.2">
      <c r="H700" s="104"/>
    </row>
    <row r="701" spans="8:8" s="79" customFormat="1" x14ac:dyDescent="0.2">
      <c r="H701" s="104"/>
    </row>
    <row r="702" spans="8:8" s="79" customFormat="1" x14ac:dyDescent="0.2">
      <c r="H702" s="104"/>
    </row>
    <row r="703" spans="8:8" s="79" customFormat="1" x14ac:dyDescent="0.2">
      <c r="H703" s="104"/>
    </row>
    <row r="704" spans="8:8" s="79" customFormat="1" x14ac:dyDescent="0.2">
      <c r="H704" s="104"/>
    </row>
    <row r="705" spans="8:8" s="79" customFormat="1" x14ac:dyDescent="0.2">
      <c r="H705" s="104"/>
    </row>
    <row r="706" spans="8:8" s="79" customFormat="1" x14ac:dyDescent="0.2">
      <c r="H706" s="104"/>
    </row>
    <row r="707" spans="8:8" s="79" customFormat="1" x14ac:dyDescent="0.2">
      <c r="H707" s="104"/>
    </row>
    <row r="708" spans="8:8" s="79" customFormat="1" x14ac:dyDescent="0.2">
      <c r="H708" s="104"/>
    </row>
    <row r="709" spans="8:8" s="79" customFormat="1" x14ac:dyDescent="0.2">
      <c r="H709" s="104"/>
    </row>
    <row r="710" spans="8:8" s="79" customFormat="1" x14ac:dyDescent="0.2">
      <c r="H710" s="104"/>
    </row>
    <row r="711" spans="8:8" s="79" customFormat="1" x14ac:dyDescent="0.2">
      <c r="H711" s="104"/>
    </row>
    <row r="712" spans="8:8" s="79" customFormat="1" x14ac:dyDescent="0.2">
      <c r="H712" s="104"/>
    </row>
    <row r="713" spans="8:8" s="79" customFormat="1" x14ac:dyDescent="0.2">
      <c r="H713" s="104"/>
    </row>
    <row r="714" spans="8:8" s="79" customFormat="1" x14ac:dyDescent="0.2">
      <c r="H714" s="104"/>
    </row>
    <row r="715" spans="8:8" s="79" customFormat="1" x14ac:dyDescent="0.2">
      <c r="H715" s="104"/>
    </row>
    <row r="716" spans="8:8" s="79" customFormat="1" x14ac:dyDescent="0.2">
      <c r="H716" s="104"/>
    </row>
    <row r="717" spans="8:8" s="79" customFormat="1" x14ac:dyDescent="0.2">
      <c r="H717" s="104"/>
    </row>
    <row r="718" spans="8:8" s="79" customFormat="1" x14ac:dyDescent="0.2">
      <c r="H718" s="104"/>
    </row>
    <row r="719" spans="8:8" s="79" customFormat="1" x14ac:dyDescent="0.2">
      <c r="H719" s="104"/>
    </row>
    <row r="720" spans="8:8" s="79" customFormat="1" x14ac:dyDescent="0.2">
      <c r="H720" s="104"/>
    </row>
    <row r="721" spans="8:11" s="79" customFormat="1" x14ac:dyDescent="0.2">
      <c r="H721" s="104"/>
    </row>
    <row r="722" spans="8:11" s="79" customFormat="1" x14ac:dyDescent="0.2">
      <c r="H722" s="104"/>
    </row>
    <row r="723" spans="8:11" s="79" customFormat="1" x14ac:dyDescent="0.2">
      <c r="H723" s="104"/>
      <c r="I723" s="87"/>
      <c r="J723" s="84"/>
      <c r="K723" s="84"/>
    </row>
    <row r="724" spans="8:11" s="79" customFormat="1" x14ac:dyDescent="0.2">
      <c r="H724" s="104"/>
      <c r="I724" s="87"/>
      <c r="J724" s="84"/>
      <c r="K724" s="84"/>
    </row>
    <row r="725" spans="8:11" s="79" customFormat="1" x14ac:dyDescent="0.2">
      <c r="H725" s="104"/>
      <c r="I725" s="87"/>
      <c r="J725" s="84"/>
      <c r="K725" s="84"/>
    </row>
    <row r="726" spans="8:11" s="79" customFormat="1" x14ac:dyDescent="0.2">
      <c r="H726" s="104"/>
      <c r="I726" s="88"/>
    </row>
    <row r="727" spans="8:11" s="79" customFormat="1" x14ac:dyDescent="0.2">
      <c r="H727" s="104"/>
      <c r="I727" s="89"/>
    </row>
    <row r="728" spans="8:11" s="79" customFormat="1" x14ac:dyDescent="0.2">
      <c r="H728" s="104"/>
      <c r="I728" s="89"/>
    </row>
    <row r="729" spans="8:11" s="79" customFormat="1" x14ac:dyDescent="0.2">
      <c r="H729" s="104"/>
      <c r="I729" s="89"/>
    </row>
    <row r="730" spans="8:11" s="79" customFormat="1" x14ac:dyDescent="0.2">
      <c r="H730" s="104"/>
      <c r="I730" s="89"/>
    </row>
    <row r="731" spans="8:11" s="79" customFormat="1" x14ac:dyDescent="0.2">
      <c r="H731" s="104"/>
      <c r="I731" s="89"/>
    </row>
    <row r="732" spans="8:11" s="79" customFormat="1" x14ac:dyDescent="0.2">
      <c r="H732" s="104"/>
      <c r="I732" s="89"/>
    </row>
    <row r="733" spans="8:11" s="79" customFormat="1" x14ac:dyDescent="0.2">
      <c r="H733" s="104"/>
      <c r="I733" s="89"/>
    </row>
    <row r="734" spans="8:11" s="79" customFormat="1" x14ac:dyDescent="0.2">
      <c r="H734" s="104"/>
      <c r="I734" s="90"/>
    </row>
    <row r="735" spans="8:11" s="79" customFormat="1" x14ac:dyDescent="0.2">
      <c r="H735" s="104"/>
      <c r="I735" s="90"/>
    </row>
    <row r="736" spans="8:11" s="79" customFormat="1" x14ac:dyDescent="0.2">
      <c r="H736" s="104"/>
      <c r="I736" s="90"/>
    </row>
    <row r="737" spans="8:9" s="79" customFormat="1" x14ac:dyDescent="0.2">
      <c r="H737" s="104"/>
      <c r="I737" s="90"/>
    </row>
    <row r="738" spans="8:9" s="79" customFormat="1" x14ac:dyDescent="0.2">
      <c r="H738" s="104"/>
      <c r="I738" s="90"/>
    </row>
    <row r="739" spans="8:9" s="79" customFormat="1" x14ac:dyDescent="0.2">
      <c r="H739" s="104"/>
      <c r="I739" s="90"/>
    </row>
    <row r="740" spans="8:9" s="79" customFormat="1" x14ac:dyDescent="0.2">
      <c r="H740" s="104"/>
      <c r="I740" s="89"/>
    </row>
    <row r="741" spans="8:9" s="79" customFormat="1" x14ac:dyDescent="0.2">
      <c r="H741" s="104"/>
      <c r="I741" s="89"/>
    </row>
    <row r="742" spans="8:9" s="79" customFormat="1" x14ac:dyDescent="0.2">
      <c r="H742" s="104"/>
      <c r="I742" s="90"/>
    </row>
    <row r="743" spans="8:9" s="79" customFormat="1" x14ac:dyDescent="0.2">
      <c r="H743" s="104"/>
      <c r="I743" s="90"/>
    </row>
    <row r="744" spans="8:9" s="79" customFormat="1" x14ac:dyDescent="0.2">
      <c r="H744" s="104"/>
      <c r="I744" s="89"/>
    </row>
    <row r="745" spans="8:9" s="79" customFormat="1" x14ac:dyDescent="0.2">
      <c r="H745" s="104"/>
      <c r="I745" s="90"/>
    </row>
    <row r="746" spans="8:9" s="79" customFormat="1" x14ac:dyDescent="0.2">
      <c r="H746" s="104"/>
      <c r="I746" s="90"/>
    </row>
    <row r="747" spans="8:9" s="79" customFormat="1" x14ac:dyDescent="0.2">
      <c r="H747" s="104"/>
      <c r="I747" s="90"/>
    </row>
    <row r="748" spans="8:9" s="79" customFormat="1" x14ac:dyDescent="0.2">
      <c r="H748" s="104"/>
      <c r="I748" s="90"/>
    </row>
    <row r="749" spans="8:9" s="79" customFormat="1" x14ac:dyDescent="0.2">
      <c r="H749" s="104"/>
      <c r="I749" s="90"/>
    </row>
    <row r="750" spans="8:9" s="79" customFormat="1" x14ac:dyDescent="0.2">
      <c r="H750" s="104"/>
      <c r="I750" s="90"/>
    </row>
    <row r="751" spans="8:9" s="79" customFormat="1" x14ac:dyDescent="0.2">
      <c r="H751" s="104"/>
      <c r="I751" s="90"/>
    </row>
    <row r="752" spans="8:9" s="79" customFormat="1" x14ac:dyDescent="0.2">
      <c r="H752" s="104"/>
      <c r="I752" s="90"/>
    </row>
    <row r="753" spans="8:9" s="79" customFormat="1" x14ac:dyDescent="0.2">
      <c r="H753" s="104"/>
      <c r="I753" s="90"/>
    </row>
    <row r="754" spans="8:9" s="79" customFormat="1" x14ac:dyDescent="0.2">
      <c r="H754" s="104"/>
      <c r="I754" s="90"/>
    </row>
    <row r="755" spans="8:9" s="79" customFormat="1" x14ac:dyDescent="0.2">
      <c r="H755" s="104"/>
      <c r="I755" s="90"/>
    </row>
    <row r="756" spans="8:9" s="79" customFormat="1" x14ac:dyDescent="0.2">
      <c r="H756" s="104"/>
      <c r="I756" s="90"/>
    </row>
    <row r="757" spans="8:9" s="79" customFormat="1" x14ac:dyDescent="0.2">
      <c r="H757" s="104"/>
      <c r="I757" s="90"/>
    </row>
    <row r="758" spans="8:9" s="79" customFormat="1" x14ac:dyDescent="0.2">
      <c r="H758" s="104"/>
      <c r="I758" s="90"/>
    </row>
    <row r="759" spans="8:9" s="79" customFormat="1" x14ac:dyDescent="0.2">
      <c r="H759" s="104"/>
      <c r="I759" s="90"/>
    </row>
    <row r="760" spans="8:9" s="79" customFormat="1" x14ac:dyDescent="0.2">
      <c r="H760" s="104"/>
      <c r="I760" s="90"/>
    </row>
    <row r="761" spans="8:9" s="79" customFormat="1" x14ac:dyDescent="0.2">
      <c r="H761" s="104"/>
      <c r="I761" s="89"/>
    </row>
    <row r="762" spans="8:9" s="79" customFormat="1" x14ac:dyDescent="0.2">
      <c r="H762" s="104"/>
      <c r="I762" s="89"/>
    </row>
    <row r="763" spans="8:9" s="79" customFormat="1" x14ac:dyDescent="0.2">
      <c r="H763" s="104"/>
      <c r="I763" s="90"/>
    </row>
    <row r="764" spans="8:9" s="79" customFormat="1" x14ac:dyDescent="0.2">
      <c r="H764" s="104"/>
      <c r="I764" s="90"/>
    </row>
    <row r="765" spans="8:9" s="79" customFormat="1" x14ac:dyDescent="0.2">
      <c r="H765" s="104"/>
      <c r="I765" s="90"/>
    </row>
    <row r="766" spans="8:9" s="79" customFormat="1" x14ac:dyDescent="0.2">
      <c r="H766" s="104"/>
      <c r="I766" s="89"/>
    </row>
    <row r="767" spans="8:9" s="79" customFormat="1" x14ac:dyDescent="0.2">
      <c r="H767" s="104"/>
      <c r="I767" s="89"/>
    </row>
    <row r="768" spans="8:9" s="79" customFormat="1" x14ac:dyDescent="0.2">
      <c r="H768" s="104"/>
      <c r="I768" s="90"/>
    </row>
    <row r="769" spans="8:9" s="79" customFormat="1" x14ac:dyDescent="0.2">
      <c r="H769" s="104"/>
      <c r="I769" s="91"/>
    </row>
    <row r="770" spans="8:9" s="79" customFormat="1" x14ac:dyDescent="0.2">
      <c r="H770" s="104"/>
      <c r="I770" s="90"/>
    </row>
    <row r="771" spans="8:9" s="79" customFormat="1" x14ac:dyDescent="0.2">
      <c r="H771" s="104"/>
      <c r="I771" s="91"/>
    </row>
    <row r="772" spans="8:9" s="79" customFormat="1" x14ac:dyDescent="0.2">
      <c r="H772" s="104"/>
      <c r="I772" s="90"/>
    </row>
    <row r="773" spans="8:9" s="79" customFormat="1" x14ac:dyDescent="0.2">
      <c r="H773" s="104"/>
      <c r="I773" s="90"/>
    </row>
    <row r="774" spans="8:9" s="79" customFormat="1" x14ac:dyDescent="0.2">
      <c r="H774" s="104"/>
      <c r="I774" s="90"/>
    </row>
    <row r="775" spans="8:9" s="79" customFormat="1" x14ac:dyDescent="0.2">
      <c r="H775" s="104"/>
      <c r="I775" s="90"/>
    </row>
    <row r="776" spans="8:9" s="79" customFormat="1" x14ac:dyDescent="0.2">
      <c r="H776" s="104"/>
      <c r="I776" s="90"/>
    </row>
    <row r="777" spans="8:9" s="79" customFormat="1" x14ac:dyDescent="0.2">
      <c r="H777" s="104"/>
      <c r="I777" s="90"/>
    </row>
    <row r="778" spans="8:9" s="79" customFormat="1" x14ac:dyDescent="0.2">
      <c r="H778" s="104"/>
      <c r="I778" s="90"/>
    </row>
    <row r="779" spans="8:9" s="79" customFormat="1" x14ac:dyDescent="0.2">
      <c r="H779" s="104"/>
      <c r="I779" s="90"/>
    </row>
    <row r="780" spans="8:9" s="79" customFormat="1" x14ac:dyDescent="0.2">
      <c r="H780" s="104"/>
      <c r="I780" s="90"/>
    </row>
    <row r="781" spans="8:9" s="79" customFormat="1" x14ac:dyDescent="0.2">
      <c r="H781" s="104"/>
      <c r="I781" s="90"/>
    </row>
    <row r="782" spans="8:9" s="79" customFormat="1" x14ac:dyDescent="0.2">
      <c r="H782" s="104"/>
      <c r="I782" s="90"/>
    </row>
    <row r="783" spans="8:9" s="79" customFormat="1" x14ac:dyDescent="0.2">
      <c r="H783" s="104"/>
      <c r="I783" s="90"/>
    </row>
    <row r="784" spans="8:9" s="79" customFormat="1" x14ac:dyDescent="0.2">
      <c r="H784" s="104"/>
      <c r="I784" s="90"/>
    </row>
    <row r="785" spans="8:9" s="79" customFormat="1" x14ac:dyDescent="0.2">
      <c r="H785" s="104"/>
      <c r="I785" s="90"/>
    </row>
    <row r="786" spans="8:9" s="79" customFormat="1" x14ac:dyDescent="0.2">
      <c r="H786" s="104"/>
      <c r="I786" s="89"/>
    </row>
    <row r="787" spans="8:9" s="79" customFormat="1" x14ac:dyDescent="0.2">
      <c r="H787" s="104"/>
      <c r="I787" s="89"/>
    </row>
    <row r="788" spans="8:9" s="79" customFormat="1" x14ac:dyDescent="0.2">
      <c r="H788" s="104"/>
      <c r="I788" s="89"/>
    </row>
    <row r="789" spans="8:9" s="79" customFormat="1" x14ac:dyDescent="0.2">
      <c r="H789" s="104"/>
      <c r="I789" s="89"/>
    </row>
    <row r="790" spans="8:9" s="79" customFormat="1" x14ac:dyDescent="0.2">
      <c r="H790" s="104"/>
      <c r="I790" s="89"/>
    </row>
    <row r="791" spans="8:9" s="79" customFormat="1" x14ac:dyDescent="0.2">
      <c r="H791" s="104"/>
      <c r="I791" s="90"/>
    </row>
    <row r="792" spans="8:9" s="79" customFormat="1" x14ac:dyDescent="0.2">
      <c r="H792" s="104"/>
      <c r="I792" s="90"/>
    </row>
    <row r="793" spans="8:9" s="79" customFormat="1" x14ac:dyDescent="0.2">
      <c r="H793" s="104"/>
      <c r="I793" s="90"/>
    </row>
    <row r="794" spans="8:9" s="79" customFormat="1" x14ac:dyDescent="0.2">
      <c r="H794" s="104"/>
      <c r="I794" s="90"/>
    </row>
    <row r="795" spans="8:9" s="79" customFormat="1" x14ac:dyDescent="0.2">
      <c r="H795" s="104"/>
      <c r="I795" s="90"/>
    </row>
    <row r="796" spans="8:9" s="79" customFormat="1" x14ac:dyDescent="0.2">
      <c r="H796" s="104"/>
      <c r="I796" s="90"/>
    </row>
    <row r="797" spans="8:9" s="79" customFormat="1" x14ac:dyDescent="0.2">
      <c r="H797" s="104"/>
      <c r="I797" s="90"/>
    </row>
    <row r="798" spans="8:9" s="79" customFormat="1" x14ac:dyDescent="0.2">
      <c r="H798" s="104"/>
      <c r="I798" s="90"/>
    </row>
    <row r="799" spans="8:9" s="79" customFormat="1" x14ac:dyDescent="0.2">
      <c r="H799" s="104"/>
      <c r="I799" s="90"/>
    </row>
    <row r="800" spans="8:9" s="79" customFormat="1" x14ac:dyDescent="0.2">
      <c r="H800" s="104"/>
      <c r="I800" s="89"/>
    </row>
    <row r="801" spans="8:9" s="79" customFormat="1" x14ac:dyDescent="0.2">
      <c r="H801" s="104"/>
      <c r="I801" s="89"/>
    </row>
    <row r="802" spans="8:9" s="79" customFormat="1" x14ac:dyDescent="0.2">
      <c r="H802" s="104"/>
      <c r="I802" s="90"/>
    </row>
    <row r="803" spans="8:9" s="79" customFormat="1" x14ac:dyDescent="0.2">
      <c r="H803" s="104"/>
      <c r="I803" s="89"/>
    </row>
    <row r="804" spans="8:9" s="79" customFormat="1" x14ac:dyDescent="0.2">
      <c r="H804" s="104"/>
      <c r="I804" s="89"/>
    </row>
    <row r="805" spans="8:9" s="79" customFormat="1" x14ac:dyDescent="0.2">
      <c r="H805" s="104"/>
      <c r="I805" s="89"/>
    </row>
    <row r="806" spans="8:9" s="79" customFormat="1" x14ac:dyDescent="0.2">
      <c r="H806" s="104"/>
      <c r="I806" s="89"/>
    </row>
    <row r="807" spans="8:9" s="79" customFormat="1" x14ac:dyDescent="0.2">
      <c r="H807" s="104"/>
      <c r="I807" s="89"/>
    </row>
    <row r="808" spans="8:9" s="79" customFormat="1" x14ac:dyDescent="0.2">
      <c r="H808" s="104"/>
      <c r="I808" s="89"/>
    </row>
    <row r="809" spans="8:9" s="79" customFormat="1" x14ac:dyDescent="0.2">
      <c r="H809" s="104"/>
      <c r="I809" s="89"/>
    </row>
    <row r="810" spans="8:9" s="79" customFormat="1" x14ac:dyDescent="0.2">
      <c r="H810" s="104"/>
      <c r="I810" s="89"/>
    </row>
    <row r="811" spans="8:9" s="79" customFormat="1" x14ac:dyDescent="0.2">
      <c r="H811" s="104"/>
      <c r="I811" s="89"/>
    </row>
    <row r="812" spans="8:9" s="79" customFormat="1" x14ac:dyDescent="0.2">
      <c r="H812" s="104"/>
      <c r="I812" s="89"/>
    </row>
    <row r="813" spans="8:9" s="79" customFormat="1" x14ac:dyDescent="0.2">
      <c r="H813" s="104"/>
      <c r="I813" s="89"/>
    </row>
    <row r="814" spans="8:9" s="79" customFormat="1" x14ac:dyDescent="0.2">
      <c r="H814" s="104"/>
      <c r="I814" s="89"/>
    </row>
    <row r="815" spans="8:9" s="79" customFormat="1" x14ac:dyDescent="0.2">
      <c r="H815" s="104"/>
      <c r="I815" s="89"/>
    </row>
    <row r="816" spans="8:9" s="79" customFormat="1" x14ac:dyDescent="0.2">
      <c r="H816" s="104"/>
      <c r="I816" s="89"/>
    </row>
    <row r="817" spans="8:9" s="79" customFormat="1" x14ac:dyDescent="0.2">
      <c r="H817" s="104"/>
      <c r="I817" s="89"/>
    </row>
    <row r="818" spans="8:9" s="79" customFormat="1" x14ac:dyDescent="0.2">
      <c r="H818" s="104"/>
      <c r="I818" s="89"/>
    </row>
    <row r="819" spans="8:9" s="79" customFormat="1" x14ac:dyDescent="0.2">
      <c r="H819" s="104"/>
      <c r="I819" s="89"/>
    </row>
    <row r="820" spans="8:9" s="79" customFormat="1" x14ac:dyDescent="0.2">
      <c r="H820" s="104"/>
      <c r="I820" s="90"/>
    </row>
    <row r="821" spans="8:9" s="79" customFormat="1" x14ac:dyDescent="0.2">
      <c r="H821" s="104"/>
      <c r="I821" s="91"/>
    </row>
    <row r="822" spans="8:9" s="79" customFormat="1" x14ac:dyDescent="0.2">
      <c r="H822" s="104"/>
      <c r="I822" s="90"/>
    </row>
    <row r="823" spans="8:9" s="79" customFormat="1" x14ac:dyDescent="0.2">
      <c r="H823" s="104"/>
      <c r="I823" s="89"/>
    </row>
    <row r="824" spans="8:9" s="79" customFormat="1" x14ac:dyDescent="0.2">
      <c r="H824" s="104"/>
      <c r="I824" s="89"/>
    </row>
    <row r="825" spans="8:9" s="79" customFormat="1" x14ac:dyDescent="0.2">
      <c r="H825" s="104"/>
      <c r="I825" s="90"/>
    </row>
    <row r="826" spans="8:9" s="79" customFormat="1" x14ac:dyDescent="0.2">
      <c r="H826" s="104"/>
      <c r="I826" s="91"/>
    </row>
    <row r="827" spans="8:9" s="79" customFormat="1" x14ac:dyDescent="0.2">
      <c r="H827" s="104"/>
      <c r="I827" s="90"/>
    </row>
    <row r="828" spans="8:9" s="79" customFormat="1" x14ac:dyDescent="0.2">
      <c r="H828" s="104"/>
      <c r="I828" s="89"/>
    </row>
    <row r="829" spans="8:9" s="79" customFormat="1" x14ac:dyDescent="0.2">
      <c r="H829" s="104"/>
      <c r="I829" s="89"/>
    </row>
    <row r="830" spans="8:9" s="79" customFormat="1" x14ac:dyDescent="0.2">
      <c r="H830" s="104"/>
      <c r="I830" s="90"/>
    </row>
    <row r="831" spans="8:9" s="79" customFormat="1" x14ac:dyDescent="0.2">
      <c r="H831" s="104"/>
      <c r="I831" s="89"/>
    </row>
    <row r="832" spans="8:9" s="79" customFormat="1" x14ac:dyDescent="0.2">
      <c r="H832" s="104"/>
      <c r="I832" s="89"/>
    </row>
    <row r="833" spans="8:9" s="79" customFormat="1" x14ac:dyDescent="0.2">
      <c r="H833" s="104"/>
      <c r="I833" s="90"/>
    </row>
    <row r="834" spans="8:9" s="79" customFormat="1" x14ac:dyDescent="0.2">
      <c r="H834" s="104"/>
      <c r="I834" s="83"/>
    </row>
    <row r="835" spans="8:9" s="79" customFormat="1" x14ac:dyDescent="0.2">
      <c r="H835" s="104"/>
      <c r="I835" s="83"/>
    </row>
    <row r="836" spans="8:9" s="79" customFormat="1" x14ac:dyDescent="0.2">
      <c r="H836" s="104"/>
      <c r="I836" s="83"/>
    </row>
    <row r="837" spans="8:9" s="79" customFormat="1" x14ac:dyDescent="0.2">
      <c r="H837" s="104"/>
      <c r="I837" s="83"/>
    </row>
    <row r="838" spans="8:9" s="79" customFormat="1" x14ac:dyDescent="0.2">
      <c r="H838" s="104"/>
      <c r="I838" s="83"/>
    </row>
    <row r="839" spans="8:9" s="79" customFormat="1" x14ac:dyDescent="0.2">
      <c r="H839" s="104"/>
      <c r="I839" s="83"/>
    </row>
    <row r="840" spans="8:9" s="79" customFormat="1" x14ac:dyDescent="0.2">
      <c r="H840" s="104"/>
      <c r="I840" s="83"/>
    </row>
    <row r="841" spans="8:9" s="79" customFormat="1" x14ac:dyDescent="0.2">
      <c r="H841" s="104"/>
      <c r="I841" s="83"/>
    </row>
    <row r="842" spans="8:9" s="79" customFormat="1" x14ac:dyDescent="0.2">
      <c r="H842" s="104"/>
      <c r="I842" s="83"/>
    </row>
    <row r="843" spans="8:9" s="79" customFormat="1" x14ac:dyDescent="0.2">
      <c r="H843" s="104"/>
      <c r="I843" s="83"/>
    </row>
    <row r="844" spans="8:9" s="79" customFormat="1" x14ac:dyDescent="0.2">
      <c r="H844" s="104"/>
      <c r="I844" s="83"/>
    </row>
    <row r="845" spans="8:9" s="79" customFormat="1" x14ac:dyDescent="0.2">
      <c r="H845" s="104"/>
      <c r="I845" s="83"/>
    </row>
    <row r="846" spans="8:9" s="79" customFormat="1" x14ac:dyDescent="0.2">
      <c r="H846" s="104"/>
      <c r="I846" s="83"/>
    </row>
    <row r="847" spans="8:9" s="79" customFormat="1" x14ac:dyDescent="0.2">
      <c r="H847" s="104"/>
      <c r="I847" s="83"/>
    </row>
    <row r="848" spans="8:9" s="79" customFormat="1" x14ac:dyDescent="0.2">
      <c r="H848" s="104"/>
      <c r="I848" s="83"/>
    </row>
    <row r="849" spans="8:9" s="79" customFormat="1" x14ac:dyDescent="0.2">
      <c r="H849" s="104"/>
      <c r="I849" s="83"/>
    </row>
    <row r="850" spans="8:9" s="79" customFormat="1" x14ac:dyDescent="0.2">
      <c r="H850" s="104"/>
      <c r="I850" s="83"/>
    </row>
    <row r="851" spans="8:9" s="79" customFormat="1" x14ac:dyDescent="0.2">
      <c r="H851" s="104"/>
      <c r="I851" s="83"/>
    </row>
    <row r="852" spans="8:9" s="79" customFormat="1" x14ac:dyDescent="0.2">
      <c r="H852" s="104"/>
      <c r="I852" s="83"/>
    </row>
    <row r="853" spans="8:9" s="79" customFormat="1" x14ac:dyDescent="0.2">
      <c r="H853" s="104"/>
      <c r="I853" s="83"/>
    </row>
    <row r="854" spans="8:9" s="79" customFormat="1" x14ac:dyDescent="0.2">
      <c r="H854" s="104"/>
      <c r="I854" s="83"/>
    </row>
    <row r="855" spans="8:9" s="79" customFormat="1" x14ac:dyDescent="0.2">
      <c r="H855" s="104"/>
      <c r="I855" s="83"/>
    </row>
    <row r="856" spans="8:9" s="79" customFormat="1" x14ac:dyDescent="0.2">
      <c r="H856" s="104"/>
      <c r="I856" s="83"/>
    </row>
    <row r="857" spans="8:9" s="79" customFormat="1" x14ac:dyDescent="0.2">
      <c r="H857" s="104"/>
      <c r="I857" s="83"/>
    </row>
    <row r="858" spans="8:9" s="79" customFormat="1" x14ac:dyDescent="0.2">
      <c r="H858" s="104"/>
      <c r="I858" s="83"/>
    </row>
    <row r="859" spans="8:9" s="79" customFormat="1" x14ac:dyDescent="0.2">
      <c r="H859" s="104"/>
      <c r="I859" s="83"/>
    </row>
    <row r="860" spans="8:9" s="79" customFormat="1" x14ac:dyDescent="0.2">
      <c r="H860" s="104"/>
      <c r="I860" s="83"/>
    </row>
    <row r="861" spans="8:9" s="79" customFormat="1" x14ac:dyDescent="0.2">
      <c r="H861" s="104"/>
      <c r="I861" s="83"/>
    </row>
    <row r="862" spans="8:9" s="79" customFormat="1" x14ac:dyDescent="0.2">
      <c r="H862" s="104"/>
      <c r="I862" s="83"/>
    </row>
    <row r="863" spans="8:9" s="79" customFormat="1" x14ac:dyDescent="0.2">
      <c r="H863" s="104"/>
      <c r="I863" s="83"/>
    </row>
    <row r="864" spans="8:9" s="79" customFormat="1" x14ac:dyDescent="0.2">
      <c r="H864" s="104"/>
      <c r="I864" s="83"/>
    </row>
    <row r="865" spans="8:9" s="79" customFormat="1" x14ac:dyDescent="0.2">
      <c r="H865" s="104"/>
      <c r="I865" s="83"/>
    </row>
    <row r="866" spans="8:9" s="79" customFormat="1" x14ac:dyDescent="0.2">
      <c r="H866" s="104"/>
      <c r="I866" s="83"/>
    </row>
    <row r="867" spans="8:9" s="79" customFormat="1" x14ac:dyDescent="0.2">
      <c r="H867" s="104"/>
      <c r="I867" s="83"/>
    </row>
    <row r="868" spans="8:9" s="79" customFormat="1" x14ac:dyDescent="0.2">
      <c r="H868" s="104"/>
      <c r="I868" s="83"/>
    </row>
    <row r="869" spans="8:9" s="79" customFormat="1" x14ac:dyDescent="0.2">
      <c r="H869" s="104"/>
      <c r="I869" s="83"/>
    </row>
    <row r="870" spans="8:9" s="79" customFormat="1" x14ac:dyDescent="0.2">
      <c r="H870" s="104"/>
      <c r="I870" s="83"/>
    </row>
    <row r="871" spans="8:9" s="79" customFormat="1" x14ac:dyDescent="0.2">
      <c r="H871" s="104"/>
      <c r="I871" s="83"/>
    </row>
    <row r="872" spans="8:9" s="79" customFormat="1" x14ac:dyDescent="0.2">
      <c r="H872" s="104"/>
      <c r="I872" s="83"/>
    </row>
    <row r="873" spans="8:9" s="79" customFormat="1" x14ac:dyDescent="0.2">
      <c r="H873" s="104"/>
      <c r="I873" s="83"/>
    </row>
    <row r="874" spans="8:9" s="79" customFormat="1" x14ac:dyDescent="0.2">
      <c r="H874" s="104"/>
      <c r="I874" s="83"/>
    </row>
    <row r="875" spans="8:9" s="79" customFormat="1" x14ac:dyDescent="0.2">
      <c r="H875" s="104"/>
      <c r="I875" s="83"/>
    </row>
    <row r="876" spans="8:9" s="79" customFormat="1" x14ac:dyDescent="0.2">
      <c r="H876" s="104"/>
      <c r="I876" s="83"/>
    </row>
    <row r="877" spans="8:9" s="79" customFormat="1" x14ac:dyDescent="0.2">
      <c r="H877" s="104"/>
      <c r="I877" s="83"/>
    </row>
    <row r="878" spans="8:9" s="79" customFormat="1" x14ac:dyDescent="0.2">
      <c r="H878" s="104"/>
      <c r="I878" s="83"/>
    </row>
    <row r="879" spans="8:9" s="79" customFormat="1" x14ac:dyDescent="0.2">
      <c r="H879" s="104"/>
      <c r="I879" s="83"/>
    </row>
    <row r="880" spans="8:9" s="79" customFormat="1" x14ac:dyDescent="0.2">
      <c r="H880" s="104"/>
      <c r="I880" s="83"/>
    </row>
    <row r="881" spans="8:9" s="79" customFormat="1" x14ac:dyDescent="0.2">
      <c r="H881" s="104"/>
      <c r="I881" s="83"/>
    </row>
    <row r="882" spans="8:9" s="79" customFormat="1" x14ac:dyDescent="0.2">
      <c r="H882" s="104"/>
      <c r="I882" s="83"/>
    </row>
    <row r="883" spans="8:9" s="79" customFormat="1" x14ac:dyDescent="0.2">
      <c r="H883" s="104"/>
      <c r="I883" s="83"/>
    </row>
    <row r="884" spans="8:9" s="79" customFormat="1" x14ac:dyDescent="0.2">
      <c r="H884" s="104"/>
      <c r="I884" s="83"/>
    </row>
    <row r="885" spans="8:9" s="79" customFormat="1" x14ac:dyDescent="0.2">
      <c r="H885" s="104"/>
      <c r="I885" s="83"/>
    </row>
    <row r="886" spans="8:9" s="79" customFormat="1" x14ac:dyDescent="0.2">
      <c r="H886" s="104"/>
      <c r="I886" s="83"/>
    </row>
    <row r="887" spans="8:9" s="79" customFormat="1" x14ac:dyDescent="0.2">
      <c r="H887" s="104"/>
      <c r="I887" s="83"/>
    </row>
    <row r="888" spans="8:9" s="79" customFormat="1" x14ac:dyDescent="0.2">
      <c r="H888" s="104"/>
      <c r="I888" s="83"/>
    </row>
    <row r="889" spans="8:9" s="79" customFormat="1" x14ac:dyDescent="0.2">
      <c r="H889" s="104"/>
      <c r="I889" s="83"/>
    </row>
    <row r="890" spans="8:9" s="79" customFormat="1" x14ac:dyDescent="0.2">
      <c r="H890" s="104"/>
      <c r="I890" s="83"/>
    </row>
    <row r="891" spans="8:9" s="79" customFormat="1" x14ac:dyDescent="0.2">
      <c r="H891" s="104"/>
      <c r="I891" s="83"/>
    </row>
    <row r="892" spans="8:9" s="79" customFormat="1" x14ac:dyDescent="0.2">
      <c r="H892" s="104"/>
      <c r="I892" s="83"/>
    </row>
    <row r="893" spans="8:9" s="79" customFormat="1" x14ac:dyDescent="0.2">
      <c r="H893" s="104"/>
      <c r="I893" s="83"/>
    </row>
    <row r="894" spans="8:9" s="79" customFormat="1" x14ac:dyDescent="0.2">
      <c r="H894" s="104"/>
      <c r="I894" s="83"/>
    </row>
    <row r="895" spans="8:9" s="79" customFormat="1" x14ac:dyDescent="0.2">
      <c r="H895" s="104"/>
      <c r="I895" s="83"/>
    </row>
    <row r="896" spans="8:9" s="79" customFormat="1" x14ac:dyDescent="0.2">
      <c r="H896" s="104"/>
      <c r="I896" s="83"/>
    </row>
    <row r="897" spans="8:9" s="79" customFormat="1" x14ac:dyDescent="0.2">
      <c r="H897" s="104"/>
      <c r="I897" s="83"/>
    </row>
    <row r="898" spans="8:9" s="79" customFormat="1" x14ac:dyDescent="0.2">
      <c r="H898" s="104"/>
      <c r="I898" s="83"/>
    </row>
    <row r="899" spans="8:9" s="79" customFormat="1" x14ac:dyDescent="0.2">
      <c r="H899" s="104"/>
      <c r="I899" s="83"/>
    </row>
    <row r="900" spans="8:9" s="79" customFormat="1" x14ac:dyDescent="0.2">
      <c r="H900" s="104"/>
      <c r="I900" s="83"/>
    </row>
    <row r="901" spans="8:9" s="79" customFormat="1" x14ac:dyDescent="0.2">
      <c r="H901" s="104"/>
      <c r="I901" s="83"/>
    </row>
    <row r="902" spans="8:9" s="79" customFormat="1" x14ac:dyDescent="0.2">
      <c r="H902" s="104"/>
      <c r="I902" s="83"/>
    </row>
    <row r="903" spans="8:9" s="79" customFormat="1" x14ac:dyDescent="0.2">
      <c r="H903" s="104"/>
      <c r="I903" s="83"/>
    </row>
    <row r="904" spans="8:9" s="79" customFormat="1" x14ac:dyDescent="0.2">
      <c r="H904" s="104"/>
      <c r="I904" s="83"/>
    </row>
    <row r="905" spans="8:9" s="79" customFormat="1" x14ac:dyDescent="0.2">
      <c r="H905" s="104"/>
      <c r="I905" s="83"/>
    </row>
    <row r="906" spans="8:9" s="79" customFormat="1" x14ac:dyDescent="0.2">
      <c r="H906" s="104"/>
      <c r="I906" s="83"/>
    </row>
    <row r="907" spans="8:9" s="79" customFormat="1" x14ac:dyDescent="0.2">
      <c r="H907" s="104"/>
      <c r="I907" s="83"/>
    </row>
    <row r="908" spans="8:9" s="79" customFormat="1" x14ac:dyDescent="0.2">
      <c r="H908" s="104"/>
      <c r="I908" s="83"/>
    </row>
    <row r="909" spans="8:9" s="79" customFormat="1" x14ac:dyDescent="0.2">
      <c r="H909" s="104"/>
      <c r="I909" s="83"/>
    </row>
    <row r="910" spans="8:9" s="79" customFormat="1" x14ac:dyDescent="0.2">
      <c r="H910" s="104"/>
      <c r="I910" s="83"/>
    </row>
    <row r="911" spans="8:9" s="79" customFormat="1" x14ac:dyDescent="0.2">
      <c r="H911" s="104"/>
      <c r="I911" s="83"/>
    </row>
    <row r="912" spans="8:9" s="79" customFormat="1" x14ac:dyDescent="0.2">
      <c r="H912" s="104"/>
      <c r="I912" s="83"/>
    </row>
    <row r="913" spans="8:10" s="79" customFormat="1" x14ac:dyDescent="0.2">
      <c r="H913" s="104"/>
      <c r="I913" s="83"/>
    </row>
    <row r="914" spans="8:10" s="79" customFormat="1" x14ac:dyDescent="0.2">
      <c r="H914" s="104"/>
      <c r="I914" s="83"/>
    </row>
    <row r="915" spans="8:10" s="79" customFormat="1" x14ac:dyDescent="0.2">
      <c r="H915" s="104"/>
      <c r="I915" s="83"/>
    </row>
    <row r="916" spans="8:10" s="79" customFormat="1" x14ac:dyDescent="0.2">
      <c r="H916" s="104"/>
      <c r="I916" s="83"/>
    </row>
    <row r="917" spans="8:10" s="79" customFormat="1" x14ac:dyDescent="0.2">
      <c r="H917" s="104"/>
      <c r="I917" s="83"/>
    </row>
    <row r="918" spans="8:10" s="79" customFormat="1" x14ac:dyDescent="0.2">
      <c r="H918" s="104"/>
      <c r="I918" s="83"/>
    </row>
    <row r="919" spans="8:10" s="79" customFormat="1" x14ac:dyDescent="0.2">
      <c r="H919" s="104"/>
      <c r="I919" s="83"/>
    </row>
    <row r="920" spans="8:10" s="79" customFormat="1" x14ac:dyDescent="0.2">
      <c r="H920" s="104"/>
      <c r="I920" s="83"/>
    </row>
    <row r="921" spans="8:10" s="79" customFormat="1" x14ac:dyDescent="0.2">
      <c r="H921" s="104"/>
      <c r="I921" s="83"/>
    </row>
    <row r="922" spans="8:10" s="79" customFormat="1" x14ac:dyDescent="0.2">
      <c r="H922" s="104"/>
      <c r="I922" s="83"/>
    </row>
    <row r="923" spans="8:10" s="79" customFormat="1" x14ac:dyDescent="0.2">
      <c r="H923" s="104"/>
      <c r="I923" s="87"/>
      <c r="J923" s="84"/>
    </row>
    <row r="924" spans="8:10" s="79" customFormat="1" x14ac:dyDescent="0.2">
      <c r="H924" s="104"/>
      <c r="I924" s="87"/>
      <c r="J924" s="84"/>
    </row>
    <row r="925" spans="8:10" s="79" customFormat="1" x14ac:dyDescent="0.2">
      <c r="H925" s="104"/>
      <c r="I925" s="87"/>
      <c r="J925" s="84"/>
    </row>
    <row r="926" spans="8:10" s="79" customFormat="1" x14ac:dyDescent="0.2">
      <c r="H926" s="104"/>
      <c r="I926" s="87"/>
      <c r="J926" s="84"/>
    </row>
    <row r="927" spans="8:10" s="79" customFormat="1" x14ac:dyDescent="0.2">
      <c r="H927" s="104"/>
      <c r="I927" s="87"/>
      <c r="J927" s="84"/>
    </row>
    <row r="928" spans="8:10" s="79" customFormat="1" x14ac:dyDescent="0.2">
      <c r="H928" s="104"/>
      <c r="I928" s="87"/>
      <c r="J928" s="84"/>
    </row>
    <row r="929" spans="8:10" s="79" customFormat="1" x14ac:dyDescent="0.2">
      <c r="H929" s="104"/>
      <c r="I929" s="87"/>
      <c r="J929" s="84"/>
    </row>
    <row r="930" spans="8:10" s="79" customFormat="1" x14ac:dyDescent="0.2">
      <c r="H930" s="104"/>
      <c r="I930" s="87"/>
      <c r="J930" s="84"/>
    </row>
    <row r="931" spans="8:10" s="79" customFormat="1" x14ac:dyDescent="0.2">
      <c r="H931" s="104"/>
      <c r="I931" s="87"/>
      <c r="J931" s="84"/>
    </row>
    <row r="932" spans="8:10" s="79" customFormat="1" x14ac:dyDescent="0.2">
      <c r="H932" s="104"/>
      <c r="I932" s="87"/>
      <c r="J932" s="84"/>
    </row>
    <row r="933" spans="8:10" s="79" customFormat="1" x14ac:dyDescent="0.2">
      <c r="H933" s="104"/>
      <c r="I933" s="87"/>
      <c r="J933" s="84"/>
    </row>
    <row r="934" spans="8:10" s="79" customFormat="1" x14ac:dyDescent="0.2">
      <c r="H934" s="104"/>
      <c r="I934" s="87"/>
      <c r="J934" s="84"/>
    </row>
    <row r="935" spans="8:10" s="79" customFormat="1" x14ac:dyDescent="0.2">
      <c r="H935" s="104"/>
      <c r="I935" s="87"/>
      <c r="J935" s="84"/>
    </row>
    <row r="936" spans="8:10" s="79" customFormat="1" x14ac:dyDescent="0.2">
      <c r="H936" s="104"/>
      <c r="I936" s="87"/>
      <c r="J936" s="84"/>
    </row>
    <row r="937" spans="8:10" s="79" customFormat="1" x14ac:dyDescent="0.2">
      <c r="H937" s="104"/>
      <c r="I937" s="87"/>
      <c r="J937" s="84"/>
    </row>
    <row r="938" spans="8:10" s="79" customFormat="1" x14ac:dyDescent="0.2">
      <c r="H938" s="104"/>
      <c r="I938" s="87"/>
      <c r="J938" s="84"/>
    </row>
    <row r="939" spans="8:10" s="79" customFormat="1" x14ac:dyDescent="0.2">
      <c r="H939" s="104"/>
      <c r="I939" s="87"/>
      <c r="J939" s="84"/>
    </row>
    <row r="940" spans="8:10" s="79" customFormat="1" x14ac:dyDescent="0.2">
      <c r="H940" s="104"/>
      <c r="I940" s="87"/>
      <c r="J940" s="84"/>
    </row>
    <row r="941" spans="8:10" s="79" customFormat="1" x14ac:dyDescent="0.2">
      <c r="H941" s="104"/>
      <c r="I941" s="87"/>
      <c r="J941" s="84"/>
    </row>
    <row r="942" spans="8:10" s="79" customFormat="1" x14ac:dyDescent="0.2">
      <c r="H942" s="104"/>
      <c r="I942" s="87"/>
      <c r="J942" s="84"/>
    </row>
    <row r="943" spans="8:10" s="79" customFormat="1" x14ac:dyDescent="0.2">
      <c r="H943" s="104"/>
      <c r="I943" s="87"/>
      <c r="J943" s="84"/>
    </row>
    <row r="944" spans="8:10" s="79" customFormat="1" x14ac:dyDescent="0.2">
      <c r="H944" s="104"/>
      <c r="I944" s="87"/>
      <c r="J944" s="84"/>
    </row>
    <row r="945" spans="8:10" s="79" customFormat="1" x14ac:dyDescent="0.2">
      <c r="H945" s="104"/>
      <c r="I945" s="87"/>
      <c r="J945" s="84"/>
    </row>
    <row r="946" spans="8:10" s="79" customFormat="1" x14ac:dyDescent="0.2">
      <c r="H946" s="104"/>
      <c r="I946" s="87"/>
      <c r="J946" s="84"/>
    </row>
    <row r="947" spans="8:10" s="79" customFormat="1" x14ac:dyDescent="0.2">
      <c r="H947" s="104"/>
      <c r="I947" s="87"/>
      <c r="J947" s="84"/>
    </row>
    <row r="948" spans="8:10" s="79" customFormat="1" x14ac:dyDescent="0.2">
      <c r="H948" s="104"/>
      <c r="I948" s="87"/>
      <c r="J948" s="84"/>
    </row>
    <row r="949" spans="8:10" s="79" customFormat="1" x14ac:dyDescent="0.2">
      <c r="H949" s="104"/>
      <c r="I949" s="87"/>
      <c r="J949" s="84"/>
    </row>
    <row r="950" spans="8:10" s="79" customFormat="1" x14ac:dyDescent="0.2">
      <c r="H950" s="104"/>
      <c r="I950" s="87"/>
      <c r="J950" s="84"/>
    </row>
    <row r="951" spans="8:10" s="79" customFormat="1" x14ac:dyDescent="0.2">
      <c r="H951" s="104"/>
      <c r="I951" s="87"/>
      <c r="J951" s="84"/>
    </row>
    <row r="952" spans="8:10" s="79" customFormat="1" x14ac:dyDescent="0.2">
      <c r="H952" s="104"/>
      <c r="I952" s="87"/>
      <c r="J952" s="84"/>
    </row>
    <row r="953" spans="8:10" s="79" customFormat="1" x14ac:dyDescent="0.2">
      <c r="H953" s="104"/>
      <c r="I953" s="87"/>
      <c r="J953" s="84"/>
    </row>
    <row r="954" spans="8:10" s="79" customFormat="1" x14ac:dyDescent="0.2">
      <c r="H954" s="104"/>
      <c r="I954" s="87"/>
      <c r="J954" s="84"/>
    </row>
    <row r="955" spans="8:10" s="79" customFormat="1" x14ac:dyDescent="0.2">
      <c r="H955" s="104"/>
      <c r="I955" s="87"/>
      <c r="J955" s="84"/>
    </row>
    <row r="956" spans="8:10" s="79" customFormat="1" x14ac:dyDescent="0.2">
      <c r="H956" s="104"/>
      <c r="I956" s="87"/>
      <c r="J956" s="84"/>
    </row>
    <row r="957" spans="8:10" s="79" customFormat="1" x14ac:dyDescent="0.2">
      <c r="H957" s="104"/>
      <c r="I957" s="87"/>
      <c r="J957" s="84"/>
    </row>
    <row r="958" spans="8:10" s="79" customFormat="1" x14ac:dyDescent="0.2">
      <c r="H958" s="104"/>
      <c r="I958" s="87"/>
      <c r="J958" s="84"/>
    </row>
    <row r="959" spans="8:10" s="79" customFormat="1" x14ac:dyDescent="0.2">
      <c r="H959" s="104"/>
      <c r="I959" s="87"/>
      <c r="J959" s="84"/>
    </row>
    <row r="960" spans="8:10" s="79" customFormat="1" x14ac:dyDescent="0.2">
      <c r="H960" s="104"/>
      <c r="I960" s="87"/>
      <c r="J960" s="84"/>
    </row>
    <row r="961" spans="8:10" s="79" customFormat="1" x14ac:dyDescent="0.2">
      <c r="H961" s="104"/>
      <c r="I961" s="87"/>
      <c r="J961" s="84"/>
    </row>
    <row r="962" spans="8:10" s="79" customFormat="1" x14ac:dyDescent="0.2">
      <c r="H962" s="104"/>
      <c r="I962" s="83"/>
    </row>
    <row r="963" spans="8:10" s="79" customFormat="1" x14ac:dyDescent="0.2">
      <c r="H963" s="104"/>
      <c r="I963" s="83"/>
    </row>
    <row r="964" spans="8:10" s="79" customFormat="1" x14ac:dyDescent="0.2">
      <c r="H964" s="104"/>
      <c r="I964" s="83"/>
    </row>
    <row r="965" spans="8:10" s="79" customFormat="1" x14ac:dyDescent="0.2">
      <c r="H965" s="104"/>
      <c r="I965" s="83"/>
    </row>
    <row r="966" spans="8:10" s="79" customFormat="1" x14ac:dyDescent="0.2">
      <c r="H966" s="104"/>
      <c r="I966" s="83"/>
    </row>
    <row r="967" spans="8:10" s="79" customFormat="1" x14ac:dyDescent="0.2">
      <c r="H967" s="104"/>
      <c r="I967" s="83"/>
    </row>
    <row r="968" spans="8:10" s="79" customFormat="1" x14ac:dyDescent="0.2">
      <c r="H968" s="104"/>
      <c r="I968" s="83"/>
    </row>
    <row r="969" spans="8:10" s="79" customFormat="1" x14ac:dyDescent="0.2">
      <c r="H969" s="104"/>
      <c r="I969" s="83"/>
    </row>
    <row r="970" spans="8:10" s="79" customFormat="1" x14ac:dyDescent="0.2">
      <c r="H970" s="104"/>
      <c r="I970" s="83"/>
    </row>
    <row r="971" spans="8:10" s="79" customFormat="1" x14ac:dyDescent="0.2">
      <c r="H971" s="104"/>
      <c r="I971" s="83"/>
    </row>
    <row r="972" spans="8:10" s="79" customFormat="1" x14ac:dyDescent="0.2">
      <c r="H972" s="104"/>
      <c r="I972" s="83"/>
    </row>
    <row r="973" spans="8:10" s="79" customFormat="1" x14ac:dyDescent="0.2">
      <c r="H973" s="104"/>
      <c r="I973" s="83"/>
    </row>
    <row r="974" spans="8:10" s="79" customFormat="1" x14ac:dyDescent="0.2">
      <c r="H974" s="104"/>
      <c r="I974" s="83"/>
    </row>
    <row r="975" spans="8:10" s="79" customFormat="1" x14ac:dyDescent="0.2">
      <c r="H975" s="104"/>
      <c r="I975" s="83"/>
    </row>
    <row r="976" spans="8:10" s="79" customFormat="1" x14ac:dyDescent="0.2">
      <c r="H976" s="104"/>
      <c r="I976" s="83"/>
    </row>
    <row r="977" spans="8:9" s="79" customFormat="1" x14ac:dyDescent="0.2">
      <c r="H977" s="104"/>
      <c r="I977" s="83"/>
    </row>
    <row r="978" spans="8:9" s="79" customFormat="1" x14ac:dyDescent="0.2">
      <c r="H978" s="104"/>
      <c r="I978" s="83"/>
    </row>
    <row r="979" spans="8:9" s="79" customFormat="1" x14ac:dyDescent="0.2">
      <c r="H979" s="104"/>
      <c r="I979" s="83"/>
    </row>
    <row r="980" spans="8:9" s="79" customFormat="1" x14ac:dyDescent="0.2">
      <c r="H980" s="104"/>
      <c r="I980" s="83"/>
    </row>
    <row r="981" spans="8:9" s="79" customFormat="1" x14ac:dyDescent="0.2">
      <c r="H981" s="104"/>
      <c r="I981" s="83"/>
    </row>
    <row r="982" spans="8:9" s="79" customFormat="1" x14ac:dyDescent="0.2">
      <c r="H982" s="104"/>
      <c r="I982" s="83"/>
    </row>
    <row r="983" spans="8:9" s="79" customFormat="1" x14ac:dyDescent="0.2">
      <c r="H983" s="104"/>
      <c r="I983" s="83"/>
    </row>
    <row r="984" spans="8:9" s="79" customFormat="1" x14ac:dyDescent="0.2">
      <c r="H984" s="104"/>
      <c r="I984" s="83"/>
    </row>
    <row r="985" spans="8:9" s="79" customFormat="1" x14ac:dyDescent="0.2">
      <c r="H985" s="104"/>
      <c r="I985" s="83"/>
    </row>
    <row r="986" spans="8:9" s="79" customFormat="1" x14ac:dyDescent="0.2">
      <c r="H986" s="104"/>
      <c r="I986" s="83"/>
    </row>
    <row r="987" spans="8:9" s="79" customFormat="1" x14ac:dyDescent="0.2">
      <c r="H987" s="104"/>
      <c r="I987" s="83"/>
    </row>
    <row r="988" spans="8:9" s="79" customFormat="1" x14ac:dyDescent="0.2">
      <c r="H988" s="104"/>
      <c r="I988" s="83"/>
    </row>
    <row r="989" spans="8:9" s="79" customFormat="1" x14ac:dyDescent="0.2">
      <c r="H989" s="104"/>
      <c r="I989" s="83"/>
    </row>
    <row r="990" spans="8:9" s="79" customFormat="1" x14ac:dyDescent="0.2">
      <c r="H990" s="104"/>
      <c r="I990" s="83"/>
    </row>
    <row r="991" spans="8:9" s="79" customFormat="1" x14ac:dyDescent="0.2">
      <c r="H991" s="104"/>
      <c r="I991" s="83"/>
    </row>
    <row r="992" spans="8:9" s="79" customFormat="1" x14ac:dyDescent="0.2">
      <c r="H992" s="104"/>
      <c r="I992" s="83"/>
    </row>
    <row r="993" spans="8:9" s="79" customFormat="1" x14ac:dyDescent="0.2">
      <c r="H993" s="104"/>
      <c r="I993" s="83"/>
    </row>
    <row r="994" spans="8:9" s="79" customFormat="1" x14ac:dyDescent="0.2">
      <c r="H994" s="104"/>
      <c r="I994" s="83"/>
    </row>
    <row r="995" spans="8:9" s="79" customFormat="1" x14ac:dyDescent="0.2">
      <c r="H995" s="104"/>
      <c r="I995" s="83"/>
    </row>
    <row r="996" spans="8:9" s="79" customFormat="1" x14ac:dyDescent="0.2">
      <c r="H996" s="104"/>
      <c r="I996" s="83"/>
    </row>
    <row r="997" spans="8:9" s="79" customFormat="1" x14ac:dyDescent="0.2">
      <c r="H997" s="104"/>
      <c r="I997" s="83"/>
    </row>
    <row r="998" spans="8:9" s="79" customFormat="1" x14ac:dyDescent="0.2">
      <c r="H998" s="104"/>
      <c r="I998" s="83"/>
    </row>
    <row r="999" spans="8:9" s="79" customFormat="1" x14ac:dyDescent="0.2">
      <c r="H999" s="104"/>
      <c r="I999" s="83"/>
    </row>
    <row r="1000" spans="8:9" s="79" customFormat="1" x14ac:dyDescent="0.2">
      <c r="H1000" s="104"/>
      <c r="I1000" s="83"/>
    </row>
    <row r="1001" spans="8:9" s="79" customFormat="1" x14ac:dyDescent="0.2">
      <c r="H1001" s="104"/>
      <c r="I1001" s="83"/>
    </row>
    <row r="1002" spans="8:9" s="79" customFormat="1" x14ac:dyDescent="0.2">
      <c r="H1002" s="104"/>
      <c r="I1002" s="83"/>
    </row>
    <row r="1003" spans="8:9" s="79" customFormat="1" x14ac:dyDescent="0.2">
      <c r="H1003" s="104"/>
      <c r="I1003" s="83"/>
    </row>
    <row r="1004" spans="8:9" s="79" customFormat="1" x14ac:dyDescent="0.2">
      <c r="H1004" s="104"/>
      <c r="I1004" s="83"/>
    </row>
    <row r="1005" spans="8:9" s="79" customFormat="1" x14ac:dyDescent="0.2">
      <c r="H1005" s="104"/>
      <c r="I1005" s="83"/>
    </row>
    <row r="1006" spans="8:9" s="79" customFormat="1" x14ac:dyDescent="0.2">
      <c r="H1006" s="104"/>
      <c r="I1006" s="83"/>
    </row>
    <row r="1007" spans="8:9" s="79" customFormat="1" x14ac:dyDescent="0.2">
      <c r="H1007" s="104"/>
      <c r="I1007" s="83"/>
    </row>
    <row r="1008" spans="8:9" s="79" customFormat="1" x14ac:dyDescent="0.2">
      <c r="H1008" s="104"/>
      <c r="I1008" s="83"/>
    </row>
    <row r="1009" spans="8:9" s="79" customFormat="1" x14ac:dyDescent="0.2">
      <c r="H1009" s="104"/>
      <c r="I1009" s="83"/>
    </row>
    <row r="1010" spans="8:9" s="79" customFormat="1" x14ac:dyDescent="0.2">
      <c r="H1010" s="104"/>
      <c r="I1010" s="83"/>
    </row>
    <row r="1011" spans="8:9" s="79" customFormat="1" x14ac:dyDescent="0.2">
      <c r="H1011" s="104"/>
      <c r="I1011" s="83"/>
    </row>
    <row r="1012" spans="8:9" s="79" customFormat="1" x14ac:dyDescent="0.2">
      <c r="H1012" s="104"/>
      <c r="I1012" s="83"/>
    </row>
    <row r="1013" spans="8:9" s="79" customFormat="1" x14ac:dyDescent="0.2">
      <c r="H1013" s="104"/>
      <c r="I1013" s="83"/>
    </row>
    <row r="1014" spans="8:9" s="79" customFormat="1" x14ac:dyDescent="0.2">
      <c r="H1014" s="104"/>
      <c r="I1014" s="83"/>
    </row>
    <row r="1015" spans="8:9" s="79" customFormat="1" x14ac:dyDescent="0.2">
      <c r="H1015" s="104"/>
      <c r="I1015" s="83"/>
    </row>
    <row r="1016" spans="8:9" s="79" customFormat="1" x14ac:dyDescent="0.2">
      <c r="H1016" s="104"/>
      <c r="I1016" s="83"/>
    </row>
    <row r="1017" spans="8:9" s="79" customFormat="1" x14ac:dyDescent="0.2">
      <c r="H1017" s="104"/>
      <c r="I1017" s="83"/>
    </row>
    <row r="1018" spans="8:9" s="79" customFormat="1" x14ac:dyDescent="0.2">
      <c r="H1018" s="104"/>
      <c r="I1018" s="83"/>
    </row>
    <row r="1019" spans="8:9" s="79" customFormat="1" x14ac:dyDescent="0.2">
      <c r="H1019" s="104"/>
      <c r="I1019" s="83"/>
    </row>
    <row r="1020" spans="8:9" s="79" customFormat="1" x14ac:dyDescent="0.2">
      <c r="H1020" s="104"/>
      <c r="I1020" s="83"/>
    </row>
    <row r="1021" spans="8:9" s="79" customFormat="1" x14ac:dyDescent="0.2">
      <c r="H1021" s="104"/>
      <c r="I1021" s="83"/>
    </row>
    <row r="1022" spans="8:9" s="79" customFormat="1" x14ac:dyDescent="0.2">
      <c r="H1022" s="104"/>
      <c r="I1022" s="83"/>
    </row>
    <row r="1023" spans="8:9" s="79" customFormat="1" x14ac:dyDescent="0.2">
      <c r="H1023" s="104"/>
      <c r="I1023" s="83"/>
    </row>
    <row r="1024" spans="8:9" s="79" customFormat="1" x14ac:dyDescent="0.2">
      <c r="H1024" s="104"/>
      <c r="I1024" s="83"/>
    </row>
    <row r="1025" spans="8:9" s="79" customFormat="1" x14ac:dyDescent="0.2">
      <c r="H1025" s="104"/>
      <c r="I1025" s="83"/>
    </row>
    <row r="1026" spans="8:9" s="79" customFormat="1" x14ac:dyDescent="0.2">
      <c r="H1026" s="104"/>
      <c r="I1026" s="83"/>
    </row>
    <row r="1027" spans="8:9" s="79" customFormat="1" x14ac:dyDescent="0.2">
      <c r="H1027" s="104"/>
      <c r="I1027" s="83"/>
    </row>
    <row r="1028" spans="8:9" s="79" customFormat="1" x14ac:dyDescent="0.2">
      <c r="H1028" s="104"/>
      <c r="I1028" s="83"/>
    </row>
    <row r="1029" spans="8:9" s="79" customFormat="1" x14ac:dyDescent="0.2">
      <c r="H1029" s="104"/>
      <c r="I1029" s="83"/>
    </row>
    <row r="1030" spans="8:9" s="79" customFormat="1" x14ac:dyDescent="0.2">
      <c r="H1030" s="104"/>
      <c r="I1030" s="83"/>
    </row>
    <row r="1031" spans="8:9" s="79" customFormat="1" x14ac:dyDescent="0.2">
      <c r="H1031" s="104"/>
      <c r="I1031" s="83"/>
    </row>
    <row r="1032" spans="8:9" s="79" customFormat="1" x14ac:dyDescent="0.2">
      <c r="H1032" s="104"/>
      <c r="I1032" s="83"/>
    </row>
    <row r="1033" spans="8:9" s="79" customFormat="1" x14ac:dyDescent="0.2">
      <c r="H1033" s="104"/>
      <c r="I1033" s="83"/>
    </row>
    <row r="1034" spans="8:9" s="79" customFormat="1" x14ac:dyDescent="0.2">
      <c r="H1034" s="104"/>
      <c r="I1034" s="83"/>
    </row>
    <row r="1035" spans="8:9" s="79" customFormat="1" x14ac:dyDescent="0.2">
      <c r="H1035" s="104"/>
      <c r="I1035" s="83"/>
    </row>
    <row r="1036" spans="8:9" s="79" customFormat="1" x14ac:dyDescent="0.2">
      <c r="H1036" s="104"/>
      <c r="I1036" s="83"/>
    </row>
    <row r="1037" spans="8:9" s="79" customFormat="1" x14ac:dyDescent="0.2">
      <c r="H1037" s="104"/>
      <c r="I1037" s="83"/>
    </row>
    <row r="1038" spans="8:9" s="79" customFormat="1" x14ac:dyDescent="0.2">
      <c r="H1038" s="104"/>
      <c r="I1038" s="83"/>
    </row>
    <row r="1039" spans="8:9" s="79" customFormat="1" x14ac:dyDescent="0.2">
      <c r="H1039" s="104"/>
      <c r="I1039" s="83"/>
    </row>
    <row r="1040" spans="8:9" s="79" customFormat="1" x14ac:dyDescent="0.2">
      <c r="H1040" s="104"/>
      <c r="I1040" s="83"/>
    </row>
    <row r="1041" spans="8:11" s="79" customFormat="1" x14ac:dyDescent="0.2">
      <c r="H1041" s="104"/>
      <c r="I1041" s="83"/>
    </row>
    <row r="1042" spans="8:11" s="79" customFormat="1" x14ac:dyDescent="0.2">
      <c r="H1042" s="104"/>
      <c r="I1042" s="83"/>
    </row>
    <row r="1043" spans="8:11" s="79" customFormat="1" x14ac:dyDescent="0.2">
      <c r="H1043" s="104"/>
      <c r="I1043" s="83"/>
    </row>
    <row r="1044" spans="8:11" s="79" customFormat="1" x14ac:dyDescent="0.2">
      <c r="H1044" s="104"/>
      <c r="I1044" s="83"/>
    </row>
    <row r="1045" spans="8:11" s="79" customFormat="1" x14ac:dyDescent="0.2">
      <c r="H1045" s="104"/>
      <c r="I1045" s="83"/>
    </row>
    <row r="1046" spans="8:11" s="79" customFormat="1" x14ac:dyDescent="0.2">
      <c r="H1046" s="104"/>
      <c r="I1046" s="83"/>
    </row>
    <row r="1047" spans="8:11" s="79" customFormat="1" x14ac:dyDescent="0.2">
      <c r="H1047" s="104"/>
      <c r="I1047" s="83"/>
    </row>
    <row r="1048" spans="8:11" s="79" customFormat="1" x14ac:dyDescent="0.2">
      <c r="H1048" s="104"/>
      <c r="I1048" s="83"/>
    </row>
    <row r="1049" spans="8:11" s="79" customFormat="1" x14ac:dyDescent="0.2">
      <c r="H1049" s="104"/>
      <c r="I1049" s="83"/>
    </row>
    <row r="1050" spans="8:11" s="79" customFormat="1" x14ac:dyDescent="0.2">
      <c r="H1050" s="104"/>
      <c r="I1050" s="83"/>
    </row>
    <row r="1051" spans="8:11" s="79" customFormat="1" x14ac:dyDescent="0.2">
      <c r="H1051" s="104"/>
      <c r="I1051" s="83"/>
    </row>
    <row r="1052" spans="8:11" s="79" customFormat="1" x14ac:dyDescent="0.2">
      <c r="H1052" s="104"/>
      <c r="I1052" s="83"/>
    </row>
    <row r="1053" spans="8:11" s="79" customFormat="1" x14ac:dyDescent="0.2">
      <c r="H1053" s="104"/>
      <c r="I1053" s="83"/>
    </row>
    <row r="1054" spans="8:11" s="79" customFormat="1" x14ac:dyDescent="0.2">
      <c r="H1054" s="104"/>
      <c r="I1054" s="83"/>
    </row>
    <row r="1055" spans="8:11" s="79" customFormat="1" x14ac:dyDescent="0.2">
      <c r="H1055" s="104"/>
      <c r="I1055" s="83"/>
    </row>
    <row r="1056" spans="8:11" s="79" customFormat="1" x14ac:dyDescent="0.2">
      <c r="H1056" s="104"/>
      <c r="I1056" s="87"/>
      <c r="J1056" s="84"/>
      <c r="K1056" s="84"/>
    </row>
    <row r="1057" spans="8:11" s="79" customFormat="1" x14ac:dyDescent="0.2">
      <c r="H1057" s="104"/>
      <c r="I1057" s="83"/>
    </row>
    <row r="1058" spans="8:11" s="79" customFormat="1" x14ac:dyDescent="0.2">
      <c r="H1058" s="104"/>
      <c r="I1058" s="83"/>
    </row>
    <row r="1059" spans="8:11" s="79" customFormat="1" x14ac:dyDescent="0.2">
      <c r="H1059" s="104"/>
      <c r="I1059" s="83"/>
    </row>
    <row r="1060" spans="8:11" s="79" customFormat="1" x14ac:dyDescent="0.2">
      <c r="H1060" s="104"/>
      <c r="I1060" s="83"/>
    </row>
    <row r="1061" spans="8:11" s="79" customFormat="1" x14ac:dyDescent="0.2">
      <c r="H1061" s="104"/>
      <c r="I1061" s="83"/>
    </row>
    <row r="1062" spans="8:11" s="79" customFormat="1" x14ac:dyDescent="0.2">
      <c r="H1062" s="104"/>
      <c r="I1062" s="87"/>
      <c r="J1062" s="84"/>
      <c r="K1062" s="84"/>
    </row>
    <row r="1063" spans="8:11" s="79" customFormat="1" x14ac:dyDescent="0.2">
      <c r="H1063" s="104"/>
      <c r="I1063" s="83"/>
    </row>
    <row r="1064" spans="8:11" s="79" customFormat="1" x14ac:dyDescent="0.2">
      <c r="H1064" s="104"/>
      <c r="I1064" s="83"/>
    </row>
    <row r="1065" spans="8:11" s="79" customFormat="1" x14ac:dyDescent="0.2">
      <c r="H1065" s="104"/>
      <c r="I1065" s="83"/>
    </row>
    <row r="1066" spans="8:11" s="79" customFormat="1" x14ac:dyDescent="0.2">
      <c r="H1066" s="104"/>
      <c r="I1066" s="83"/>
    </row>
    <row r="1067" spans="8:11" s="79" customFormat="1" x14ac:dyDescent="0.2">
      <c r="H1067" s="104"/>
      <c r="I1067" s="83"/>
    </row>
    <row r="1068" spans="8:11" s="79" customFormat="1" x14ac:dyDescent="0.2">
      <c r="H1068" s="104"/>
      <c r="I1068" s="83"/>
    </row>
    <row r="1069" spans="8:11" s="79" customFormat="1" x14ac:dyDescent="0.2">
      <c r="H1069" s="104"/>
      <c r="I1069" s="83"/>
    </row>
    <row r="1070" spans="8:11" s="79" customFormat="1" x14ac:dyDescent="0.2">
      <c r="H1070" s="104"/>
      <c r="I1070" s="83"/>
    </row>
    <row r="1071" spans="8:11" s="79" customFormat="1" x14ac:dyDescent="0.2">
      <c r="H1071" s="104"/>
      <c r="I1071" s="83"/>
    </row>
    <row r="1072" spans="8:11" s="79" customFormat="1" x14ac:dyDescent="0.2">
      <c r="H1072" s="104"/>
      <c r="I1072" s="83"/>
    </row>
    <row r="1073" spans="8:9" s="79" customFormat="1" x14ac:dyDescent="0.2">
      <c r="H1073" s="104"/>
      <c r="I1073" s="83"/>
    </row>
    <row r="1074" spans="8:9" s="79" customFormat="1" x14ac:dyDescent="0.2">
      <c r="H1074" s="104"/>
      <c r="I1074" s="83"/>
    </row>
    <row r="1075" spans="8:9" s="79" customFormat="1" x14ac:dyDescent="0.2">
      <c r="H1075" s="104"/>
      <c r="I1075" s="83"/>
    </row>
    <row r="1076" spans="8:9" s="79" customFormat="1" x14ac:dyDescent="0.2">
      <c r="H1076" s="104"/>
      <c r="I1076" s="83"/>
    </row>
    <row r="1077" spans="8:9" s="79" customFormat="1" x14ac:dyDescent="0.2">
      <c r="H1077" s="104"/>
      <c r="I1077" s="83"/>
    </row>
    <row r="1078" spans="8:9" s="79" customFormat="1" x14ac:dyDescent="0.2">
      <c r="H1078" s="104"/>
      <c r="I1078" s="83"/>
    </row>
    <row r="1079" spans="8:9" s="79" customFormat="1" x14ac:dyDescent="0.2">
      <c r="H1079" s="104"/>
      <c r="I1079" s="83"/>
    </row>
    <row r="1080" spans="8:9" s="79" customFormat="1" x14ac:dyDescent="0.2">
      <c r="H1080" s="104"/>
      <c r="I1080" s="83"/>
    </row>
    <row r="1081" spans="8:9" s="79" customFormat="1" x14ac:dyDescent="0.2">
      <c r="H1081" s="104"/>
      <c r="I1081" s="83"/>
    </row>
    <row r="1082" spans="8:9" s="79" customFormat="1" x14ac:dyDescent="0.2">
      <c r="H1082" s="104"/>
      <c r="I1082" s="83"/>
    </row>
    <row r="1083" spans="8:9" s="79" customFormat="1" x14ac:dyDescent="0.2">
      <c r="H1083" s="104"/>
      <c r="I1083" s="83"/>
    </row>
    <row r="1084" spans="8:9" s="79" customFormat="1" x14ac:dyDescent="0.2">
      <c r="H1084" s="104"/>
      <c r="I1084" s="83"/>
    </row>
    <row r="1085" spans="8:9" s="79" customFormat="1" x14ac:dyDescent="0.2">
      <c r="H1085" s="104"/>
      <c r="I1085" s="83"/>
    </row>
    <row r="1086" spans="8:9" s="79" customFormat="1" x14ac:dyDescent="0.2">
      <c r="H1086" s="104"/>
      <c r="I1086" s="83"/>
    </row>
    <row r="1087" spans="8:9" s="79" customFormat="1" x14ac:dyDescent="0.2">
      <c r="H1087" s="104"/>
      <c r="I1087" s="83"/>
    </row>
    <row r="1088" spans="8:9" s="79" customFormat="1" x14ac:dyDescent="0.2">
      <c r="H1088" s="104"/>
      <c r="I1088" s="83"/>
    </row>
    <row r="1089" spans="8:9" s="79" customFormat="1" x14ac:dyDescent="0.2">
      <c r="H1089" s="104"/>
      <c r="I1089" s="83"/>
    </row>
    <row r="1090" spans="8:9" s="79" customFormat="1" x14ac:dyDescent="0.2">
      <c r="H1090" s="104"/>
      <c r="I1090" s="83"/>
    </row>
    <row r="1091" spans="8:9" s="79" customFormat="1" x14ac:dyDescent="0.2">
      <c r="H1091" s="104"/>
      <c r="I1091" s="83"/>
    </row>
    <row r="1092" spans="8:9" s="79" customFormat="1" x14ac:dyDescent="0.2">
      <c r="H1092" s="104"/>
      <c r="I1092" s="83"/>
    </row>
    <row r="1093" spans="8:9" s="79" customFormat="1" x14ac:dyDescent="0.2">
      <c r="H1093" s="104"/>
      <c r="I1093" s="83"/>
    </row>
    <row r="1094" spans="8:9" s="79" customFormat="1" x14ac:dyDescent="0.2">
      <c r="H1094" s="104"/>
      <c r="I1094" s="83"/>
    </row>
    <row r="1095" spans="8:9" s="79" customFormat="1" x14ac:dyDescent="0.2">
      <c r="H1095" s="104"/>
      <c r="I1095" s="83"/>
    </row>
    <row r="1096" spans="8:9" s="79" customFormat="1" x14ac:dyDescent="0.2">
      <c r="H1096" s="104"/>
      <c r="I1096" s="83"/>
    </row>
    <row r="1097" spans="8:9" s="79" customFormat="1" x14ac:dyDescent="0.2">
      <c r="H1097" s="104"/>
      <c r="I1097" s="83"/>
    </row>
    <row r="1098" spans="8:9" s="79" customFormat="1" x14ac:dyDescent="0.2">
      <c r="H1098" s="104"/>
      <c r="I1098" s="83"/>
    </row>
    <row r="1099" spans="8:9" s="79" customFormat="1" x14ac:dyDescent="0.2">
      <c r="H1099" s="104"/>
      <c r="I1099" s="83"/>
    </row>
    <row r="1100" spans="8:9" s="79" customFormat="1" x14ac:dyDescent="0.2">
      <c r="H1100" s="104"/>
      <c r="I1100" s="83"/>
    </row>
    <row r="1101" spans="8:9" s="79" customFormat="1" x14ac:dyDescent="0.2">
      <c r="H1101" s="104"/>
      <c r="I1101" s="83"/>
    </row>
    <row r="1102" spans="8:9" s="79" customFormat="1" x14ac:dyDescent="0.2">
      <c r="H1102" s="104"/>
      <c r="I1102" s="83"/>
    </row>
    <row r="1103" spans="8:9" s="79" customFormat="1" x14ac:dyDescent="0.2">
      <c r="H1103" s="104"/>
      <c r="I1103" s="83"/>
    </row>
    <row r="1104" spans="8:9" s="79" customFormat="1" x14ac:dyDescent="0.2">
      <c r="H1104" s="104"/>
      <c r="I1104" s="83"/>
    </row>
    <row r="1105" spans="6:11" s="79" customFormat="1" x14ac:dyDescent="0.2">
      <c r="H1105" s="104"/>
      <c r="I1105" s="83"/>
    </row>
    <row r="1106" spans="6:11" s="79" customFormat="1" x14ac:dyDescent="0.2">
      <c r="H1106" s="104"/>
      <c r="I1106" s="83"/>
    </row>
    <row r="1107" spans="6:11" s="79" customFormat="1" x14ac:dyDescent="0.2">
      <c r="H1107" s="104"/>
      <c r="I1107" s="83"/>
    </row>
    <row r="1108" spans="6:11" s="79" customFormat="1" x14ac:dyDescent="0.2">
      <c r="H1108" s="104"/>
      <c r="I1108" s="83"/>
    </row>
    <row r="1109" spans="6:11" s="79" customFormat="1" x14ac:dyDescent="0.2">
      <c r="H1109" s="104"/>
      <c r="I1109" s="83"/>
    </row>
    <row r="1110" spans="6:11" s="79" customFormat="1" x14ac:dyDescent="0.2">
      <c r="H1110" s="104"/>
      <c r="I1110" s="83"/>
    </row>
    <row r="1111" spans="6:11" s="79" customFormat="1" x14ac:dyDescent="0.2">
      <c r="H1111" s="104"/>
      <c r="I1111" s="83"/>
    </row>
    <row r="1112" spans="6:11" s="79" customFormat="1" x14ac:dyDescent="0.2">
      <c r="H1112" s="104"/>
      <c r="I1112" s="83"/>
    </row>
    <row r="1113" spans="6:11" s="79" customFormat="1" x14ac:dyDescent="0.2">
      <c r="H1113" s="104"/>
      <c r="I1113" s="83"/>
    </row>
    <row r="1114" spans="6:11" s="79" customFormat="1" x14ac:dyDescent="0.2">
      <c r="H1114" s="104"/>
      <c r="I1114" s="83"/>
    </row>
    <row r="1115" spans="6:11" s="79" customFormat="1" x14ac:dyDescent="0.2">
      <c r="H1115" s="104"/>
      <c r="I1115" s="87"/>
      <c r="J1115" s="84"/>
      <c r="K1115" s="84"/>
    </row>
    <row r="1116" spans="6:11" s="79" customFormat="1" x14ac:dyDescent="0.2">
      <c r="H1116" s="104"/>
      <c r="I1116" s="87"/>
      <c r="J1116" s="84"/>
      <c r="K1116" s="84"/>
    </row>
    <row r="1117" spans="6:11" s="79" customFormat="1" x14ac:dyDescent="0.2">
      <c r="F1117" s="80"/>
      <c r="G1117" s="80"/>
      <c r="H1117" s="96"/>
      <c r="I1117" s="87"/>
      <c r="J1117" s="84"/>
      <c r="K1117" s="84"/>
    </row>
    <row r="1118" spans="6:11" s="79" customFormat="1" x14ac:dyDescent="0.2">
      <c r="F1118" s="80"/>
      <c r="G1118" s="80"/>
      <c r="H1118" s="96"/>
      <c r="I1118" s="83"/>
    </row>
    <row r="1119" spans="6:11" s="79" customFormat="1" x14ac:dyDescent="0.2">
      <c r="F1119" s="80"/>
      <c r="G1119" s="80"/>
      <c r="H1119" s="96"/>
      <c r="I1119" s="83"/>
    </row>
    <row r="1120" spans="6:11" s="79" customFormat="1" x14ac:dyDescent="0.2">
      <c r="F1120" s="80"/>
      <c r="G1120" s="80"/>
      <c r="H1120" s="96"/>
      <c r="I1120" s="83"/>
    </row>
    <row r="1121" spans="1:18" x14ac:dyDescent="0.2">
      <c r="I1121" s="83"/>
    </row>
    <row r="1122" spans="1:18" x14ac:dyDescent="0.2">
      <c r="I1122" s="83"/>
    </row>
    <row r="1123" spans="1:18" x14ac:dyDescent="0.2">
      <c r="I1123" s="83"/>
    </row>
    <row r="1124" spans="1:18" x14ac:dyDescent="0.2">
      <c r="I1124" s="83"/>
    </row>
    <row r="1125" spans="1:18" x14ac:dyDescent="0.2">
      <c r="I1125" s="83"/>
    </row>
    <row r="1126" spans="1:18" x14ac:dyDescent="0.2">
      <c r="I1126" s="83"/>
    </row>
    <row r="1127" spans="1:18" x14ac:dyDescent="0.2">
      <c r="I1127" s="83"/>
    </row>
    <row r="1128" spans="1:18" x14ac:dyDescent="0.2">
      <c r="I1128" s="92"/>
      <c r="J1128" s="92"/>
    </row>
    <row r="1129" spans="1:18" x14ac:dyDescent="0.2">
      <c r="I1129" s="83"/>
    </row>
    <row r="1130" spans="1:18" x14ac:dyDescent="0.2">
      <c r="I1130" s="83"/>
    </row>
    <row r="1131" spans="1:18" x14ac:dyDescent="0.2">
      <c r="I1131" s="83"/>
    </row>
    <row r="1132" spans="1:18" s="83" customFormat="1" x14ac:dyDescent="0.2">
      <c r="A1132" s="79"/>
      <c r="B1132" s="79"/>
      <c r="C1132" s="79"/>
      <c r="D1132" s="79"/>
      <c r="E1132" s="79"/>
      <c r="F1132" s="80"/>
      <c r="G1132" s="80"/>
      <c r="H1132" s="96"/>
      <c r="Q1132" s="106"/>
      <c r="R1132" s="106"/>
    </row>
    <row r="1133" spans="1:18" s="83" customFormat="1" x14ac:dyDescent="0.2">
      <c r="A1133" s="79"/>
      <c r="B1133" s="79"/>
      <c r="C1133" s="79"/>
      <c r="D1133" s="79"/>
      <c r="E1133" s="79"/>
      <c r="F1133" s="80"/>
      <c r="G1133" s="80"/>
      <c r="H1133" s="96"/>
      <c r="Q1133" s="106"/>
      <c r="R1133" s="106"/>
    </row>
    <row r="1134" spans="1:18" s="83" customFormat="1" x14ac:dyDescent="0.2">
      <c r="A1134" s="79"/>
      <c r="B1134" s="79"/>
      <c r="C1134" s="79"/>
      <c r="D1134" s="79"/>
      <c r="E1134" s="79"/>
      <c r="F1134" s="80"/>
      <c r="G1134" s="80"/>
      <c r="H1134" s="96"/>
      <c r="Q1134" s="106"/>
      <c r="R1134" s="106"/>
    </row>
    <row r="1135" spans="1:18" s="83" customFormat="1" x14ac:dyDescent="0.2">
      <c r="A1135" s="79"/>
      <c r="B1135" s="79"/>
      <c r="C1135" s="79"/>
      <c r="D1135" s="79"/>
      <c r="E1135" s="79"/>
      <c r="F1135" s="80"/>
      <c r="G1135" s="80"/>
      <c r="H1135" s="96"/>
      <c r="Q1135" s="106"/>
      <c r="R1135" s="106"/>
    </row>
    <row r="1136" spans="1:18" s="83" customFormat="1" x14ac:dyDescent="0.2">
      <c r="A1136" s="79"/>
      <c r="B1136" s="79"/>
      <c r="C1136" s="79"/>
      <c r="D1136" s="79"/>
      <c r="E1136" s="79"/>
      <c r="F1136" s="80"/>
      <c r="G1136" s="80"/>
      <c r="H1136" s="96"/>
      <c r="Q1136" s="106"/>
      <c r="R1136" s="106"/>
    </row>
    <row r="1137" spans="1:18" s="83" customFormat="1" x14ac:dyDescent="0.2">
      <c r="A1137" s="79"/>
      <c r="B1137" s="79"/>
      <c r="C1137" s="79"/>
      <c r="D1137" s="79"/>
      <c r="E1137" s="79"/>
      <c r="F1137" s="80"/>
      <c r="G1137" s="80"/>
      <c r="H1137" s="96"/>
      <c r="Q1137" s="106"/>
      <c r="R1137" s="106"/>
    </row>
    <row r="1138" spans="1:18" s="83" customFormat="1" x14ac:dyDescent="0.2">
      <c r="A1138" s="79"/>
      <c r="B1138" s="79"/>
      <c r="C1138" s="79"/>
      <c r="D1138" s="79"/>
      <c r="E1138" s="79"/>
      <c r="F1138" s="80"/>
      <c r="G1138" s="80"/>
      <c r="H1138" s="96"/>
      <c r="Q1138" s="106"/>
      <c r="R1138" s="106"/>
    </row>
    <row r="1139" spans="1:18" s="83" customFormat="1" x14ac:dyDescent="0.2">
      <c r="A1139" s="79"/>
      <c r="B1139" s="79"/>
      <c r="C1139" s="79"/>
      <c r="D1139" s="79"/>
      <c r="E1139" s="79"/>
      <c r="F1139" s="80"/>
      <c r="G1139" s="80"/>
      <c r="H1139" s="96"/>
      <c r="Q1139" s="106"/>
      <c r="R1139" s="106"/>
    </row>
    <row r="1140" spans="1:18" x14ac:dyDescent="0.2">
      <c r="I1140" s="83"/>
    </row>
    <row r="1141" spans="1:18" x14ac:dyDescent="0.2">
      <c r="I1141" s="83"/>
    </row>
    <row r="1142" spans="1:18" x14ac:dyDescent="0.2">
      <c r="I1142" s="83"/>
    </row>
    <row r="1143" spans="1:18" x14ac:dyDescent="0.2">
      <c r="I1143" s="83"/>
    </row>
    <row r="1144" spans="1:18" x14ac:dyDescent="0.2">
      <c r="I1144" s="83"/>
    </row>
    <row r="1145" spans="1:18" x14ac:dyDescent="0.2">
      <c r="I1145" s="83"/>
    </row>
    <row r="1146" spans="1:18" x14ac:dyDescent="0.2">
      <c r="I1146" s="83"/>
    </row>
    <row r="1147" spans="1:18" x14ac:dyDescent="0.2">
      <c r="I1147" s="83"/>
    </row>
    <row r="1148" spans="1:18" x14ac:dyDescent="0.2">
      <c r="I1148" s="83"/>
    </row>
    <row r="1149" spans="1:18" x14ac:dyDescent="0.2">
      <c r="F1149" s="79"/>
      <c r="G1149" s="79"/>
      <c r="H1149" s="104"/>
      <c r="I1149" s="83"/>
    </row>
    <row r="1150" spans="1:18" x14ac:dyDescent="0.2">
      <c r="F1150" s="79"/>
      <c r="G1150" s="79"/>
      <c r="H1150" s="104"/>
      <c r="I1150" s="83"/>
    </row>
    <row r="1151" spans="1:18" x14ac:dyDescent="0.2">
      <c r="F1151" s="79"/>
      <c r="G1151" s="79"/>
      <c r="H1151" s="104"/>
      <c r="I1151" s="83"/>
    </row>
    <row r="1152" spans="1:18" x14ac:dyDescent="0.2">
      <c r="F1152" s="79"/>
      <c r="G1152" s="79"/>
      <c r="H1152" s="104"/>
      <c r="I1152" s="83"/>
    </row>
    <row r="1153" spans="8:9" s="79" customFormat="1" x14ac:dyDescent="0.2">
      <c r="H1153" s="104"/>
      <c r="I1153" s="83"/>
    </row>
    <row r="1154" spans="8:9" s="79" customFormat="1" x14ac:dyDescent="0.2">
      <c r="H1154" s="104"/>
      <c r="I1154" s="83"/>
    </row>
    <row r="1155" spans="8:9" s="79" customFormat="1" x14ac:dyDescent="0.2">
      <c r="H1155" s="104"/>
      <c r="I1155" s="83"/>
    </row>
    <row r="1156" spans="8:9" s="79" customFormat="1" x14ac:dyDescent="0.2">
      <c r="H1156" s="104"/>
      <c r="I1156" s="83"/>
    </row>
    <row r="1157" spans="8:9" s="79" customFormat="1" x14ac:dyDescent="0.2">
      <c r="H1157" s="104"/>
      <c r="I1157" s="83"/>
    </row>
    <row r="1158" spans="8:9" s="79" customFormat="1" x14ac:dyDescent="0.2">
      <c r="H1158" s="104"/>
      <c r="I1158" s="83"/>
    </row>
    <row r="1159" spans="8:9" s="79" customFormat="1" x14ac:dyDescent="0.2">
      <c r="H1159" s="104"/>
      <c r="I1159" s="83"/>
    </row>
    <row r="1160" spans="8:9" s="79" customFormat="1" x14ac:dyDescent="0.2">
      <c r="H1160" s="104"/>
      <c r="I1160" s="83"/>
    </row>
    <row r="1161" spans="8:9" s="79" customFormat="1" x14ac:dyDescent="0.2">
      <c r="H1161" s="104"/>
      <c r="I1161" s="83"/>
    </row>
    <row r="1162" spans="8:9" s="79" customFormat="1" x14ac:dyDescent="0.2">
      <c r="H1162" s="104"/>
      <c r="I1162" s="83"/>
    </row>
    <row r="1163" spans="8:9" s="79" customFormat="1" x14ac:dyDescent="0.2">
      <c r="H1163" s="104"/>
      <c r="I1163" s="83"/>
    </row>
    <row r="1164" spans="8:9" s="79" customFormat="1" x14ac:dyDescent="0.2">
      <c r="H1164" s="104"/>
      <c r="I1164" s="83"/>
    </row>
    <row r="1165" spans="8:9" s="79" customFormat="1" x14ac:dyDescent="0.2">
      <c r="H1165" s="104"/>
      <c r="I1165" s="83"/>
    </row>
    <row r="1166" spans="8:9" s="79" customFormat="1" x14ac:dyDescent="0.2">
      <c r="H1166" s="104"/>
      <c r="I1166" s="83"/>
    </row>
    <row r="1167" spans="8:9" s="79" customFormat="1" x14ac:dyDescent="0.2">
      <c r="H1167" s="104"/>
      <c r="I1167" s="83"/>
    </row>
    <row r="1168" spans="8:9" s="79" customFormat="1" x14ac:dyDescent="0.2">
      <c r="H1168" s="104"/>
      <c r="I1168" s="83"/>
    </row>
    <row r="1169" spans="8:9" s="79" customFormat="1" x14ac:dyDescent="0.2">
      <c r="H1169" s="104"/>
      <c r="I1169" s="83"/>
    </row>
    <row r="1170" spans="8:9" s="79" customFormat="1" x14ac:dyDescent="0.2">
      <c r="H1170" s="104"/>
      <c r="I1170" s="83"/>
    </row>
    <row r="1171" spans="8:9" s="79" customFormat="1" x14ac:dyDescent="0.2">
      <c r="H1171" s="104"/>
      <c r="I1171" s="83"/>
    </row>
    <row r="1172" spans="8:9" s="79" customFormat="1" x14ac:dyDescent="0.2">
      <c r="H1172" s="104"/>
      <c r="I1172" s="83"/>
    </row>
    <row r="1173" spans="8:9" s="79" customFormat="1" x14ac:dyDescent="0.2">
      <c r="H1173" s="104"/>
      <c r="I1173" s="83"/>
    </row>
    <row r="1174" spans="8:9" s="79" customFormat="1" x14ac:dyDescent="0.2">
      <c r="H1174" s="104"/>
      <c r="I1174" s="83"/>
    </row>
    <row r="1175" spans="8:9" s="79" customFormat="1" x14ac:dyDescent="0.2">
      <c r="H1175" s="104"/>
      <c r="I1175" s="83"/>
    </row>
    <row r="1176" spans="8:9" s="79" customFormat="1" x14ac:dyDescent="0.2">
      <c r="H1176" s="104"/>
      <c r="I1176" s="83"/>
    </row>
    <row r="1177" spans="8:9" s="79" customFormat="1" x14ac:dyDescent="0.2">
      <c r="H1177" s="104"/>
      <c r="I1177" s="83"/>
    </row>
    <row r="1178" spans="8:9" s="79" customFormat="1" x14ac:dyDescent="0.2">
      <c r="H1178" s="104"/>
      <c r="I1178" s="83"/>
    </row>
    <row r="1179" spans="8:9" s="79" customFormat="1" x14ac:dyDescent="0.2">
      <c r="H1179" s="104"/>
      <c r="I1179" s="83"/>
    </row>
    <row r="1180" spans="8:9" s="79" customFormat="1" x14ac:dyDescent="0.2">
      <c r="H1180" s="104"/>
      <c r="I1180" s="83"/>
    </row>
    <row r="1181" spans="8:9" s="79" customFormat="1" x14ac:dyDescent="0.2">
      <c r="H1181" s="96"/>
      <c r="I1181" s="83"/>
    </row>
    <row r="1182" spans="8:9" s="79" customFormat="1" x14ac:dyDescent="0.2">
      <c r="H1182" s="96"/>
      <c r="I1182" s="83"/>
    </row>
    <row r="1183" spans="8:9" s="79" customFormat="1" x14ac:dyDescent="0.2">
      <c r="H1183" s="96"/>
      <c r="I1183" s="83"/>
    </row>
    <row r="1184" spans="8:9" s="79" customFormat="1" x14ac:dyDescent="0.2">
      <c r="H1184" s="96"/>
      <c r="I1184" s="83"/>
    </row>
    <row r="1185" spans="8:9" s="79" customFormat="1" x14ac:dyDescent="0.2">
      <c r="H1185" s="96"/>
      <c r="I1185" s="83"/>
    </row>
    <row r="1186" spans="8:9" s="79" customFormat="1" x14ac:dyDescent="0.2">
      <c r="H1186" s="96"/>
      <c r="I1186" s="83"/>
    </row>
    <row r="1187" spans="8:9" s="79" customFormat="1" x14ac:dyDescent="0.2">
      <c r="H1187" s="96"/>
      <c r="I1187" s="83"/>
    </row>
    <row r="1188" spans="8:9" s="79" customFormat="1" x14ac:dyDescent="0.2">
      <c r="H1188" s="96"/>
      <c r="I1188" s="83"/>
    </row>
    <row r="1189" spans="8:9" s="79" customFormat="1" x14ac:dyDescent="0.2">
      <c r="H1189" s="96" t="e">
        <f>H19+H22+H27+H36+H37+H38+H39+H45+H49+H50+#REF!+H53+H108+H109+H111+H112+H113+H115+H137+H138+H141+H142+#REF!+#REF!+H381+H383+H403+H407+H408+#REF!</f>
        <v>#REF!</v>
      </c>
      <c r="I1189" s="83"/>
    </row>
    <row r="1190" spans="8:9" s="79" customFormat="1" x14ac:dyDescent="0.2">
      <c r="H1190" s="96"/>
      <c r="I1190" s="83"/>
    </row>
    <row r="1191" spans="8:9" s="79" customFormat="1" x14ac:dyDescent="0.2">
      <c r="H1191" s="96"/>
      <c r="I1191" s="83"/>
    </row>
    <row r="1192" spans="8:9" s="79" customFormat="1" x14ac:dyDescent="0.2">
      <c r="H1192" s="96"/>
      <c r="I1192" s="83"/>
    </row>
    <row r="1193" spans="8:9" s="79" customFormat="1" x14ac:dyDescent="0.2">
      <c r="H1193" s="96"/>
      <c r="I1193" s="83"/>
    </row>
    <row r="1194" spans="8:9" s="79" customFormat="1" x14ac:dyDescent="0.2">
      <c r="H1194" s="96"/>
      <c r="I1194" s="83"/>
    </row>
    <row r="1195" spans="8:9" s="79" customFormat="1" x14ac:dyDescent="0.2">
      <c r="H1195" s="96"/>
      <c r="I1195" s="83"/>
    </row>
    <row r="1196" spans="8:9" s="79" customFormat="1" x14ac:dyDescent="0.2">
      <c r="H1196" s="96"/>
      <c r="I1196" s="83"/>
    </row>
    <row r="1197" spans="8:9" s="79" customFormat="1" x14ac:dyDescent="0.2">
      <c r="H1197" s="104"/>
      <c r="I1197" s="83"/>
    </row>
    <row r="1198" spans="8:9" s="79" customFormat="1" x14ac:dyDescent="0.2">
      <c r="H1198" s="104"/>
      <c r="I1198" s="83"/>
    </row>
    <row r="1199" spans="8:9" s="79" customFormat="1" x14ac:dyDescent="0.2">
      <c r="H1199" s="104"/>
      <c r="I1199" s="83"/>
    </row>
    <row r="1200" spans="8:9" s="79" customFormat="1" x14ac:dyDescent="0.2">
      <c r="H1200" s="104"/>
      <c r="I1200" s="83"/>
    </row>
    <row r="1201" spans="8:9" s="79" customFormat="1" x14ac:dyDescent="0.2">
      <c r="H1201" s="104"/>
      <c r="I1201" s="83"/>
    </row>
    <row r="1202" spans="8:9" s="79" customFormat="1" x14ac:dyDescent="0.2">
      <c r="H1202" s="104"/>
      <c r="I1202" s="83"/>
    </row>
    <row r="1203" spans="8:9" s="79" customFormat="1" x14ac:dyDescent="0.2">
      <c r="H1203" s="104"/>
      <c r="I1203" s="83"/>
    </row>
    <row r="1204" spans="8:9" s="79" customFormat="1" x14ac:dyDescent="0.2">
      <c r="H1204" s="104"/>
      <c r="I1204" s="83"/>
    </row>
    <row r="1205" spans="8:9" s="79" customFormat="1" x14ac:dyDescent="0.2">
      <c r="H1205" s="104"/>
      <c r="I1205" s="83"/>
    </row>
    <row r="1206" spans="8:9" s="79" customFormat="1" x14ac:dyDescent="0.2">
      <c r="H1206" s="104"/>
      <c r="I1206" s="83"/>
    </row>
    <row r="1207" spans="8:9" s="79" customFormat="1" x14ac:dyDescent="0.2">
      <c r="H1207" s="104"/>
      <c r="I1207" s="83"/>
    </row>
    <row r="1208" spans="8:9" s="79" customFormat="1" x14ac:dyDescent="0.2">
      <c r="H1208" s="104"/>
      <c r="I1208" s="83"/>
    </row>
    <row r="1209" spans="8:9" s="79" customFormat="1" x14ac:dyDescent="0.2">
      <c r="H1209" s="104"/>
      <c r="I1209" s="83"/>
    </row>
    <row r="1210" spans="8:9" s="79" customFormat="1" x14ac:dyDescent="0.2">
      <c r="H1210" s="104"/>
      <c r="I1210" s="83"/>
    </row>
    <row r="1211" spans="8:9" s="79" customFormat="1" x14ac:dyDescent="0.2">
      <c r="H1211" s="104"/>
      <c r="I1211" s="83"/>
    </row>
    <row r="1212" spans="8:9" s="79" customFormat="1" x14ac:dyDescent="0.2">
      <c r="H1212" s="104"/>
      <c r="I1212" s="83"/>
    </row>
    <row r="1213" spans="8:9" s="79" customFormat="1" x14ac:dyDescent="0.2">
      <c r="H1213" s="104"/>
      <c r="I1213" s="83"/>
    </row>
    <row r="1214" spans="8:9" s="79" customFormat="1" x14ac:dyDescent="0.2">
      <c r="H1214" s="104"/>
      <c r="I1214" s="83"/>
    </row>
    <row r="1215" spans="8:9" s="79" customFormat="1" x14ac:dyDescent="0.2">
      <c r="H1215" s="104"/>
      <c r="I1215" s="83"/>
    </row>
    <row r="1216" spans="8:9" s="79" customFormat="1" x14ac:dyDescent="0.2">
      <c r="H1216" s="104"/>
      <c r="I1216" s="83"/>
    </row>
    <row r="1217" spans="8:9" s="79" customFormat="1" x14ac:dyDescent="0.2">
      <c r="H1217" s="104"/>
      <c r="I1217" s="83"/>
    </row>
    <row r="1218" spans="8:9" s="79" customFormat="1" x14ac:dyDescent="0.2">
      <c r="H1218" s="104"/>
      <c r="I1218" s="83"/>
    </row>
    <row r="1219" spans="8:9" s="79" customFormat="1" x14ac:dyDescent="0.2">
      <c r="H1219" s="104"/>
      <c r="I1219" s="83"/>
    </row>
    <row r="1220" spans="8:9" s="79" customFormat="1" x14ac:dyDescent="0.2">
      <c r="H1220" s="104"/>
      <c r="I1220" s="83"/>
    </row>
    <row r="1221" spans="8:9" s="79" customFormat="1" x14ac:dyDescent="0.2">
      <c r="H1221" s="104"/>
      <c r="I1221" s="83"/>
    </row>
    <row r="1222" spans="8:9" s="79" customFormat="1" x14ac:dyDescent="0.2">
      <c r="H1222" s="104"/>
      <c r="I1222" s="83"/>
    </row>
    <row r="1223" spans="8:9" s="79" customFormat="1" x14ac:dyDescent="0.2">
      <c r="H1223" s="104"/>
      <c r="I1223" s="83"/>
    </row>
    <row r="1224" spans="8:9" s="79" customFormat="1" x14ac:dyDescent="0.2">
      <c r="H1224" s="104"/>
      <c r="I1224" s="83"/>
    </row>
    <row r="1225" spans="8:9" s="79" customFormat="1" x14ac:dyDescent="0.2">
      <c r="H1225" s="104"/>
      <c r="I1225" s="83"/>
    </row>
    <row r="1226" spans="8:9" s="79" customFormat="1" x14ac:dyDescent="0.2">
      <c r="H1226" s="104"/>
      <c r="I1226" s="83"/>
    </row>
    <row r="1227" spans="8:9" s="79" customFormat="1" x14ac:dyDescent="0.2">
      <c r="H1227" s="104"/>
      <c r="I1227" s="83"/>
    </row>
    <row r="1228" spans="8:9" s="79" customFormat="1" x14ac:dyDescent="0.2">
      <c r="H1228" s="104"/>
      <c r="I1228" s="83"/>
    </row>
    <row r="1229" spans="8:9" s="79" customFormat="1" x14ac:dyDescent="0.2">
      <c r="H1229" s="104"/>
      <c r="I1229" s="83"/>
    </row>
    <row r="1230" spans="8:9" s="79" customFormat="1" x14ac:dyDescent="0.2">
      <c r="H1230" s="104"/>
      <c r="I1230" s="83"/>
    </row>
    <row r="1231" spans="8:9" s="79" customFormat="1" x14ac:dyDescent="0.2">
      <c r="H1231" s="104"/>
      <c r="I1231" s="83"/>
    </row>
    <row r="1232" spans="8:9" s="79" customFormat="1" x14ac:dyDescent="0.2">
      <c r="H1232" s="104"/>
      <c r="I1232" s="83"/>
    </row>
    <row r="1233" spans="8:9" s="79" customFormat="1" x14ac:dyDescent="0.2">
      <c r="H1233" s="104"/>
      <c r="I1233" s="83"/>
    </row>
    <row r="1234" spans="8:9" s="79" customFormat="1" x14ac:dyDescent="0.2">
      <c r="H1234" s="104"/>
      <c r="I1234" s="83"/>
    </row>
    <row r="1235" spans="8:9" s="79" customFormat="1" x14ac:dyDescent="0.2">
      <c r="H1235" s="104"/>
      <c r="I1235" s="83"/>
    </row>
    <row r="1236" spans="8:9" s="79" customFormat="1" x14ac:dyDescent="0.2">
      <c r="H1236" s="104"/>
      <c r="I1236" s="83"/>
    </row>
    <row r="1237" spans="8:9" s="79" customFormat="1" x14ac:dyDescent="0.2">
      <c r="H1237" s="104"/>
      <c r="I1237" s="83"/>
    </row>
    <row r="1238" spans="8:9" s="79" customFormat="1" x14ac:dyDescent="0.2">
      <c r="H1238" s="104"/>
      <c r="I1238" s="83"/>
    </row>
    <row r="1239" spans="8:9" s="79" customFormat="1" x14ac:dyDescent="0.2">
      <c r="H1239" s="104"/>
      <c r="I1239" s="83"/>
    </row>
    <row r="1240" spans="8:9" s="79" customFormat="1" x14ac:dyDescent="0.2">
      <c r="H1240" s="104"/>
      <c r="I1240" s="83"/>
    </row>
    <row r="1241" spans="8:9" s="79" customFormat="1" x14ac:dyDescent="0.2">
      <c r="H1241" s="104"/>
      <c r="I1241" s="83"/>
    </row>
    <row r="1242" spans="8:9" s="79" customFormat="1" x14ac:dyDescent="0.2">
      <c r="H1242" s="104"/>
      <c r="I1242" s="83"/>
    </row>
    <row r="1243" spans="8:9" s="79" customFormat="1" x14ac:dyDescent="0.2">
      <c r="H1243" s="104"/>
      <c r="I1243" s="83"/>
    </row>
    <row r="1244" spans="8:9" s="79" customFormat="1" x14ac:dyDescent="0.2">
      <c r="H1244" s="104"/>
      <c r="I1244" s="83"/>
    </row>
    <row r="1245" spans="8:9" s="79" customFormat="1" x14ac:dyDescent="0.2">
      <c r="H1245" s="104"/>
      <c r="I1245" s="83"/>
    </row>
    <row r="1246" spans="8:9" s="79" customFormat="1" x14ac:dyDescent="0.2">
      <c r="H1246" s="104"/>
      <c r="I1246" s="83"/>
    </row>
    <row r="1247" spans="8:9" s="79" customFormat="1" x14ac:dyDescent="0.2">
      <c r="H1247" s="104"/>
      <c r="I1247" s="83"/>
    </row>
    <row r="1248" spans="8:9" s="79" customFormat="1" x14ac:dyDescent="0.2">
      <c r="H1248" s="104"/>
      <c r="I1248" s="83"/>
    </row>
    <row r="1249" spans="8:9" s="79" customFormat="1" x14ac:dyDescent="0.2">
      <c r="H1249" s="104"/>
      <c r="I1249" s="83"/>
    </row>
    <row r="1250" spans="8:9" s="79" customFormat="1" x14ac:dyDescent="0.2">
      <c r="H1250" s="104"/>
      <c r="I1250" s="83"/>
    </row>
    <row r="1251" spans="8:9" s="79" customFormat="1" x14ac:dyDescent="0.2">
      <c r="H1251" s="104"/>
      <c r="I1251" s="83"/>
    </row>
    <row r="1252" spans="8:9" s="79" customFormat="1" x14ac:dyDescent="0.2">
      <c r="H1252" s="104"/>
      <c r="I1252" s="83"/>
    </row>
    <row r="1253" spans="8:9" s="79" customFormat="1" x14ac:dyDescent="0.2">
      <c r="H1253" s="104"/>
      <c r="I1253" s="83"/>
    </row>
    <row r="1254" spans="8:9" s="79" customFormat="1" x14ac:dyDescent="0.2">
      <c r="H1254" s="104"/>
      <c r="I1254" s="83"/>
    </row>
    <row r="1255" spans="8:9" s="79" customFormat="1" x14ac:dyDescent="0.2">
      <c r="H1255" s="104"/>
      <c r="I1255" s="83"/>
    </row>
    <row r="1256" spans="8:9" s="79" customFormat="1" x14ac:dyDescent="0.2">
      <c r="H1256" s="104"/>
      <c r="I1256" s="83"/>
    </row>
    <row r="1257" spans="8:9" s="79" customFormat="1" x14ac:dyDescent="0.2">
      <c r="H1257" s="104"/>
      <c r="I1257" s="83"/>
    </row>
    <row r="1258" spans="8:9" s="79" customFormat="1" x14ac:dyDescent="0.2">
      <c r="H1258" s="104"/>
      <c r="I1258" s="83"/>
    </row>
    <row r="1259" spans="8:9" s="79" customFormat="1" x14ac:dyDescent="0.2">
      <c r="H1259" s="104"/>
      <c r="I1259" s="83"/>
    </row>
    <row r="1260" spans="8:9" s="79" customFormat="1" x14ac:dyDescent="0.2">
      <c r="H1260" s="104"/>
      <c r="I1260" s="83"/>
    </row>
    <row r="1261" spans="8:9" s="79" customFormat="1" x14ac:dyDescent="0.2">
      <c r="H1261" s="104"/>
      <c r="I1261" s="83"/>
    </row>
    <row r="1262" spans="8:9" s="79" customFormat="1" x14ac:dyDescent="0.2">
      <c r="H1262" s="104"/>
      <c r="I1262" s="83"/>
    </row>
    <row r="1263" spans="8:9" s="79" customFormat="1" x14ac:dyDescent="0.2">
      <c r="H1263" s="104"/>
      <c r="I1263" s="83"/>
    </row>
    <row r="1264" spans="8:9" s="79" customFormat="1" x14ac:dyDescent="0.2">
      <c r="H1264" s="104"/>
      <c r="I1264" s="83"/>
    </row>
    <row r="1265" spans="8:9" s="79" customFormat="1" x14ac:dyDescent="0.2">
      <c r="H1265" s="104"/>
      <c r="I1265" s="83"/>
    </row>
    <row r="1266" spans="8:9" s="79" customFormat="1" x14ac:dyDescent="0.2">
      <c r="H1266" s="104"/>
      <c r="I1266" s="83"/>
    </row>
    <row r="1267" spans="8:9" s="79" customFormat="1" x14ac:dyDescent="0.2">
      <c r="H1267" s="104"/>
      <c r="I1267" s="83"/>
    </row>
    <row r="1268" spans="8:9" s="79" customFormat="1" x14ac:dyDescent="0.2">
      <c r="H1268" s="104"/>
      <c r="I1268" s="83"/>
    </row>
    <row r="1269" spans="8:9" s="79" customFormat="1" x14ac:dyDescent="0.2">
      <c r="H1269" s="104"/>
      <c r="I1269" s="83"/>
    </row>
    <row r="1270" spans="8:9" s="79" customFormat="1" x14ac:dyDescent="0.2">
      <c r="H1270" s="104"/>
      <c r="I1270" s="83"/>
    </row>
    <row r="1271" spans="8:9" s="79" customFormat="1" x14ac:dyDescent="0.2">
      <c r="H1271" s="104"/>
      <c r="I1271" s="83"/>
    </row>
    <row r="1272" spans="8:9" s="79" customFormat="1" x14ac:dyDescent="0.2">
      <c r="H1272" s="104"/>
      <c r="I1272" s="83"/>
    </row>
    <row r="1273" spans="8:9" s="79" customFormat="1" x14ac:dyDescent="0.2">
      <c r="H1273" s="104"/>
      <c r="I1273" s="83"/>
    </row>
    <row r="1274" spans="8:9" s="79" customFormat="1" x14ac:dyDescent="0.2">
      <c r="H1274" s="104"/>
      <c r="I1274" s="83"/>
    </row>
    <row r="1275" spans="8:9" s="79" customFormat="1" x14ac:dyDescent="0.2">
      <c r="H1275" s="104"/>
      <c r="I1275" s="83"/>
    </row>
    <row r="1276" spans="8:9" s="79" customFormat="1" x14ac:dyDescent="0.2">
      <c r="H1276" s="104"/>
      <c r="I1276" s="83"/>
    </row>
    <row r="1277" spans="8:9" s="79" customFormat="1" x14ac:dyDescent="0.2">
      <c r="H1277" s="104"/>
      <c r="I1277" s="83"/>
    </row>
    <row r="1278" spans="8:9" s="79" customFormat="1" x14ac:dyDescent="0.2">
      <c r="H1278" s="104"/>
      <c r="I1278" s="83"/>
    </row>
    <row r="1279" spans="8:9" s="79" customFormat="1" x14ac:dyDescent="0.2">
      <c r="H1279" s="104"/>
      <c r="I1279" s="83"/>
    </row>
    <row r="1280" spans="8:9" s="79" customFormat="1" x14ac:dyDescent="0.2">
      <c r="H1280" s="104"/>
      <c r="I1280" s="83"/>
    </row>
    <row r="1281" spans="8:9" s="79" customFormat="1" x14ac:dyDescent="0.2">
      <c r="H1281" s="104"/>
      <c r="I1281" s="83"/>
    </row>
    <row r="1282" spans="8:9" s="79" customFormat="1" x14ac:dyDescent="0.2">
      <c r="H1282" s="104"/>
      <c r="I1282" s="83"/>
    </row>
    <row r="1283" spans="8:9" s="79" customFormat="1" x14ac:dyDescent="0.2">
      <c r="H1283" s="104"/>
      <c r="I1283" s="83"/>
    </row>
    <row r="1284" spans="8:9" s="79" customFormat="1" x14ac:dyDescent="0.2">
      <c r="H1284" s="104"/>
      <c r="I1284" s="83"/>
    </row>
    <row r="1285" spans="8:9" s="79" customFormat="1" x14ac:dyDescent="0.2">
      <c r="H1285" s="104"/>
      <c r="I1285" s="83"/>
    </row>
    <row r="1286" spans="8:9" s="79" customFormat="1" x14ac:dyDescent="0.2">
      <c r="H1286" s="104"/>
      <c r="I1286" s="83"/>
    </row>
    <row r="1287" spans="8:9" s="79" customFormat="1" x14ac:dyDescent="0.2">
      <c r="H1287" s="104"/>
      <c r="I1287" s="83"/>
    </row>
    <row r="1288" spans="8:9" s="79" customFormat="1" x14ac:dyDescent="0.2">
      <c r="H1288" s="104"/>
      <c r="I1288" s="83"/>
    </row>
    <row r="1289" spans="8:9" s="79" customFormat="1" x14ac:dyDescent="0.2">
      <c r="H1289" s="104"/>
      <c r="I1289" s="83"/>
    </row>
    <row r="1290" spans="8:9" s="79" customFormat="1" x14ac:dyDescent="0.2">
      <c r="H1290" s="104"/>
      <c r="I1290" s="83"/>
    </row>
    <row r="1291" spans="8:9" s="79" customFormat="1" x14ac:dyDescent="0.2">
      <c r="H1291" s="104"/>
      <c r="I1291" s="83"/>
    </row>
    <row r="1292" spans="8:9" s="79" customFormat="1" x14ac:dyDescent="0.2">
      <c r="H1292" s="104"/>
      <c r="I1292" s="83"/>
    </row>
    <row r="1293" spans="8:9" s="79" customFormat="1" x14ac:dyDescent="0.2">
      <c r="H1293" s="104"/>
      <c r="I1293" s="83"/>
    </row>
    <row r="1294" spans="8:9" s="79" customFormat="1" x14ac:dyDescent="0.2">
      <c r="H1294" s="104"/>
      <c r="I1294" s="83"/>
    </row>
    <row r="1295" spans="8:9" s="79" customFormat="1" x14ac:dyDescent="0.2">
      <c r="H1295" s="104"/>
      <c r="I1295" s="83"/>
    </row>
    <row r="1296" spans="8:9" s="79" customFormat="1" x14ac:dyDescent="0.2">
      <c r="H1296" s="104"/>
      <c r="I1296" s="83"/>
    </row>
    <row r="1297" spans="8:9" s="79" customFormat="1" x14ac:dyDescent="0.2">
      <c r="H1297" s="104"/>
      <c r="I1297" s="83"/>
    </row>
    <row r="1298" spans="8:9" s="79" customFormat="1" x14ac:dyDescent="0.2">
      <c r="H1298" s="104"/>
      <c r="I1298" s="83"/>
    </row>
    <row r="1299" spans="8:9" s="79" customFormat="1" x14ac:dyDescent="0.2">
      <c r="H1299" s="104"/>
      <c r="I1299" s="83"/>
    </row>
    <row r="1300" spans="8:9" s="79" customFormat="1" x14ac:dyDescent="0.2">
      <c r="H1300" s="104"/>
      <c r="I1300" s="83"/>
    </row>
    <row r="1301" spans="8:9" s="79" customFormat="1" x14ac:dyDescent="0.2">
      <c r="H1301" s="104"/>
      <c r="I1301" s="83"/>
    </row>
    <row r="1302" spans="8:9" s="79" customFormat="1" x14ac:dyDescent="0.2">
      <c r="H1302" s="104"/>
      <c r="I1302" s="83"/>
    </row>
    <row r="1303" spans="8:9" s="79" customFormat="1" x14ac:dyDescent="0.2">
      <c r="H1303" s="104"/>
      <c r="I1303" s="83"/>
    </row>
    <row r="1304" spans="8:9" s="79" customFormat="1" x14ac:dyDescent="0.2">
      <c r="H1304" s="104"/>
      <c r="I1304" s="83"/>
    </row>
    <row r="1305" spans="8:9" s="79" customFormat="1" x14ac:dyDescent="0.2">
      <c r="H1305" s="104"/>
      <c r="I1305" s="83"/>
    </row>
    <row r="1306" spans="8:9" s="79" customFormat="1" x14ac:dyDescent="0.2">
      <c r="H1306" s="104"/>
      <c r="I1306" s="83"/>
    </row>
    <row r="1307" spans="8:9" s="79" customFormat="1" x14ac:dyDescent="0.2">
      <c r="H1307" s="104"/>
      <c r="I1307" s="83"/>
    </row>
    <row r="1308" spans="8:9" s="79" customFormat="1" x14ac:dyDescent="0.2">
      <c r="H1308" s="104"/>
      <c r="I1308" s="83"/>
    </row>
    <row r="1309" spans="8:9" s="79" customFormat="1" x14ac:dyDescent="0.2">
      <c r="H1309" s="104"/>
      <c r="I1309" s="83"/>
    </row>
    <row r="1310" spans="8:9" s="79" customFormat="1" x14ac:dyDescent="0.2">
      <c r="H1310" s="104"/>
      <c r="I1310" s="83"/>
    </row>
    <row r="1311" spans="8:9" s="79" customFormat="1" x14ac:dyDescent="0.2">
      <c r="H1311" s="104"/>
      <c r="I1311" s="83"/>
    </row>
    <row r="1312" spans="8:9" s="79" customFormat="1" x14ac:dyDescent="0.2">
      <c r="H1312" s="104"/>
      <c r="I1312" s="83"/>
    </row>
    <row r="1313" spans="8:9" s="79" customFormat="1" x14ac:dyDescent="0.2">
      <c r="H1313" s="104"/>
      <c r="I1313" s="83"/>
    </row>
    <row r="1314" spans="8:9" s="79" customFormat="1" x14ac:dyDescent="0.2">
      <c r="H1314" s="104"/>
      <c r="I1314" s="83"/>
    </row>
    <row r="1315" spans="8:9" s="79" customFormat="1" x14ac:dyDescent="0.2">
      <c r="H1315" s="104"/>
      <c r="I1315" s="83"/>
    </row>
    <row r="1316" spans="8:9" s="79" customFormat="1" x14ac:dyDescent="0.2">
      <c r="H1316" s="104"/>
      <c r="I1316" s="83"/>
    </row>
    <row r="1317" spans="8:9" s="79" customFormat="1" x14ac:dyDescent="0.2">
      <c r="H1317" s="104"/>
      <c r="I1317" s="83"/>
    </row>
    <row r="1318" spans="8:9" s="79" customFormat="1" x14ac:dyDescent="0.2">
      <c r="H1318" s="104"/>
      <c r="I1318" s="83"/>
    </row>
    <row r="1319" spans="8:9" s="79" customFormat="1" x14ac:dyDescent="0.2">
      <c r="H1319" s="104"/>
      <c r="I1319" s="83"/>
    </row>
    <row r="1320" spans="8:9" s="79" customFormat="1" x14ac:dyDescent="0.2">
      <c r="H1320" s="104"/>
      <c r="I1320" s="83"/>
    </row>
    <row r="1321" spans="8:9" s="79" customFormat="1" x14ac:dyDescent="0.2">
      <c r="H1321" s="104"/>
      <c r="I1321" s="83"/>
    </row>
    <row r="1322" spans="8:9" s="79" customFormat="1" x14ac:dyDescent="0.2">
      <c r="H1322" s="104"/>
      <c r="I1322" s="83"/>
    </row>
    <row r="1323" spans="8:9" s="79" customFormat="1" x14ac:dyDescent="0.2">
      <c r="H1323" s="104"/>
      <c r="I1323" s="83"/>
    </row>
    <row r="1324" spans="8:9" s="79" customFormat="1" x14ac:dyDescent="0.2">
      <c r="H1324" s="104"/>
      <c r="I1324" s="83"/>
    </row>
    <row r="1325" spans="8:9" s="79" customFormat="1" x14ac:dyDescent="0.2">
      <c r="H1325" s="104"/>
      <c r="I1325" s="83"/>
    </row>
    <row r="1326" spans="8:9" s="79" customFormat="1" x14ac:dyDescent="0.2">
      <c r="H1326" s="104"/>
      <c r="I1326" s="83"/>
    </row>
    <row r="1327" spans="8:9" s="79" customFormat="1" x14ac:dyDescent="0.2">
      <c r="H1327" s="104"/>
      <c r="I1327" s="83"/>
    </row>
    <row r="1328" spans="8:9" s="79" customFormat="1" x14ac:dyDescent="0.2">
      <c r="H1328" s="104"/>
      <c r="I1328" s="83"/>
    </row>
    <row r="1329" spans="8:9" s="79" customFormat="1" x14ac:dyDescent="0.2">
      <c r="H1329" s="104"/>
      <c r="I1329" s="83"/>
    </row>
    <row r="1330" spans="8:9" s="79" customFormat="1" x14ac:dyDescent="0.2">
      <c r="H1330" s="104"/>
      <c r="I1330" s="83"/>
    </row>
    <row r="1331" spans="8:9" s="79" customFormat="1" x14ac:dyDescent="0.2">
      <c r="H1331" s="104"/>
      <c r="I1331" s="83"/>
    </row>
    <row r="1332" spans="8:9" s="79" customFormat="1" x14ac:dyDescent="0.2">
      <c r="H1332" s="104"/>
      <c r="I1332" s="83"/>
    </row>
    <row r="1333" spans="8:9" s="79" customFormat="1" x14ac:dyDescent="0.2">
      <c r="H1333" s="104"/>
      <c r="I1333" s="83"/>
    </row>
    <row r="1334" spans="8:9" s="79" customFormat="1" x14ac:dyDescent="0.2">
      <c r="H1334" s="104"/>
      <c r="I1334" s="83"/>
    </row>
    <row r="1335" spans="8:9" s="79" customFormat="1" x14ac:dyDescent="0.2">
      <c r="H1335" s="104"/>
      <c r="I1335" s="83"/>
    </row>
    <row r="1336" spans="8:9" s="79" customFormat="1" x14ac:dyDescent="0.2">
      <c r="H1336" s="104"/>
      <c r="I1336" s="83"/>
    </row>
    <row r="1337" spans="8:9" s="79" customFormat="1" x14ac:dyDescent="0.2">
      <c r="H1337" s="104"/>
      <c r="I1337" s="83"/>
    </row>
    <row r="1338" spans="8:9" s="79" customFormat="1" x14ac:dyDescent="0.2">
      <c r="H1338" s="104"/>
      <c r="I1338" s="83"/>
    </row>
    <row r="1339" spans="8:9" s="79" customFormat="1" x14ac:dyDescent="0.2">
      <c r="H1339" s="104"/>
      <c r="I1339" s="83"/>
    </row>
    <row r="1340" spans="8:9" s="79" customFormat="1" x14ac:dyDescent="0.2">
      <c r="H1340" s="104"/>
      <c r="I1340" s="83"/>
    </row>
    <row r="1341" spans="8:9" s="79" customFormat="1" x14ac:dyDescent="0.2">
      <c r="H1341" s="104"/>
      <c r="I1341" s="83"/>
    </row>
    <row r="1342" spans="8:9" s="79" customFormat="1" x14ac:dyDescent="0.2">
      <c r="H1342" s="104"/>
      <c r="I1342" s="83"/>
    </row>
    <row r="1343" spans="8:9" s="79" customFormat="1" x14ac:dyDescent="0.2">
      <c r="H1343" s="104"/>
      <c r="I1343" s="83"/>
    </row>
    <row r="1344" spans="8:9" s="79" customFormat="1" x14ac:dyDescent="0.2">
      <c r="H1344" s="104"/>
      <c r="I1344" s="83"/>
    </row>
    <row r="1345" spans="8:9" s="79" customFormat="1" x14ac:dyDescent="0.2">
      <c r="H1345" s="104"/>
      <c r="I1345" s="83"/>
    </row>
    <row r="1346" spans="8:9" s="79" customFormat="1" x14ac:dyDescent="0.2">
      <c r="H1346" s="104"/>
      <c r="I1346" s="83"/>
    </row>
    <row r="1347" spans="8:9" s="79" customFormat="1" x14ac:dyDescent="0.2">
      <c r="H1347" s="104"/>
      <c r="I1347" s="83"/>
    </row>
    <row r="1348" spans="8:9" s="79" customFormat="1" x14ac:dyDescent="0.2">
      <c r="H1348" s="104"/>
      <c r="I1348" s="83"/>
    </row>
    <row r="1349" spans="8:9" s="79" customFormat="1" x14ac:dyDescent="0.2">
      <c r="H1349" s="104"/>
      <c r="I1349" s="83"/>
    </row>
    <row r="1350" spans="8:9" s="79" customFormat="1" x14ac:dyDescent="0.2">
      <c r="H1350" s="104"/>
      <c r="I1350" s="83"/>
    </row>
    <row r="1351" spans="8:9" s="79" customFormat="1" x14ac:dyDescent="0.2">
      <c r="H1351" s="104"/>
      <c r="I1351" s="83"/>
    </row>
    <row r="1352" spans="8:9" s="79" customFormat="1" x14ac:dyDescent="0.2">
      <c r="H1352" s="104"/>
      <c r="I1352" s="83"/>
    </row>
    <row r="1353" spans="8:9" s="79" customFormat="1" x14ac:dyDescent="0.2">
      <c r="H1353" s="104"/>
      <c r="I1353" s="83"/>
    </row>
    <row r="1354" spans="8:9" s="79" customFormat="1" x14ac:dyDescent="0.2">
      <c r="H1354" s="104"/>
      <c r="I1354" s="83"/>
    </row>
    <row r="1355" spans="8:9" s="79" customFormat="1" x14ac:dyDescent="0.2">
      <c r="H1355" s="104"/>
      <c r="I1355" s="83"/>
    </row>
    <row r="1356" spans="8:9" s="79" customFormat="1" x14ac:dyDescent="0.2">
      <c r="H1356" s="104"/>
      <c r="I1356" s="83"/>
    </row>
    <row r="1357" spans="8:9" s="79" customFormat="1" x14ac:dyDescent="0.2">
      <c r="H1357" s="104"/>
      <c r="I1357" s="83"/>
    </row>
    <row r="1358" spans="8:9" s="79" customFormat="1" x14ac:dyDescent="0.2">
      <c r="H1358" s="104"/>
      <c r="I1358" s="83"/>
    </row>
    <row r="1359" spans="8:9" s="79" customFormat="1" x14ac:dyDescent="0.2">
      <c r="H1359" s="104"/>
      <c r="I1359" s="83"/>
    </row>
    <row r="1360" spans="8:9" s="79" customFormat="1" x14ac:dyDescent="0.2">
      <c r="H1360" s="104"/>
      <c r="I1360" s="83"/>
    </row>
    <row r="1361" spans="8:9" s="79" customFormat="1" x14ac:dyDescent="0.2">
      <c r="H1361" s="104"/>
      <c r="I1361" s="83"/>
    </row>
    <row r="1362" spans="8:9" s="79" customFormat="1" x14ac:dyDescent="0.2">
      <c r="H1362" s="104"/>
      <c r="I1362" s="83"/>
    </row>
    <row r="1363" spans="8:9" s="79" customFormat="1" x14ac:dyDescent="0.2">
      <c r="H1363" s="104"/>
      <c r="I1363" s="83"/>
    </row>
    <row r="1364" spans="8:9" s="79" customFormat="1" x14ac:dyDescent="0.2">
      <c r="H1364" s="104"/>
      <c r="I1364" s="83"/>
    </row>
    <row r="1365" spans="8:9" s="79" customFormat="1" x14ac:dyDescent="0.2">
      <c r="H1365" s="104"/>
      <c r="I1365" s="83"/>
    </row>
    <row r="1366" spans="8:9" s="79" customFormat="1" x14ac:dyDescent="0.2">
      <c r="H1366" s="104"/>
      <c r="I1366" s="83"/>
    </row>
    <row r="1367" spans="8:9" s="79" customFormat="1" x14ac:dyDescent="0.2">
      <c r="H1367" s="104"/>
      <c r="I1367" s="83"/>
    </row>
    <row r="1368" spans="8:9" s="79" customFormat="1" x14ac:dyDescent="0.2">
      <c r="H1368" s="104"/>
      <c r="I1368" s="83"/>
    </row>
    <row r="1369" spans="8:9" s="79" customFormat="1" x14ac:dyDescent="0.2">
      <c r="H1369" s="104"/>
      <c r="I1369" s="83"/>
    </row>
    <row r="1370" spans="8:9" s="79" customFormat="1" x14ac:dyDescent="0.2">
      <c r="H1370" s="104"/>
      <c r="I1370" s="83"/>
    </row>
    <row r="1371" spans="8:9" s="79" customFormat="1" x14ac:dyDescent="0.2">
      <c r="H1371" s="104"/>
      <c r="I1371" s="83"/>
    </row>
    <row r="1372" spans="8:9" s="79" customFormat="1" x14ac:dyDescent="0.2">
      <c r="H1372" s="104"/>
      <c r="I1372" s="83"/>
    </row>
    <row r="1373" spans="8:9" s="79" customFormat="1" x14ac:dyDescent="0.2">
      <c r="H1373" s="104"/>
      <c r="I1373" s="83"/>
    </row>
    <row r="1374" spans="8:9" s="79" customFormat="1" x14ac:dyDescent="0.2">
      <c r="H1374" s="104"/>
      <c r="I1374" s="83"/>
    </row>
    <row r="1375" spans="8:9" s="79" customFormat="1" x14ac:dyDescent="0.2">
      <c r="H1375" s="104"/>
      <c r="I1375" s="83"/>
    </row>
    <row r="1376" spans="8:9" s="79" customFormat="1" x14ac:dyDescent="0.2">
      <c r="H1376" s="104"/>
      <c r="I1376" s="83"/>
    </row>
    <row r="1377" spans="8:9" s="79" customFormat="1" x14ac:dyDescent="0.2">
      <c r="H1377" s="104"/>
      <c r="I1377" s="83"/>
    </row>
    <row r="1378" spans="8:9" s="79" customFormat="1" x14ac:dyDescent="0.2">
      <c r="H1378" s="104"/>
      <c r="I1378" s="83"/>
    </row>
    <row r="1379" spans="8:9" s="79" customFormat="1" x14ac:dyDescent="0.2">
      <c r="H1379" s="104"/>
      <c r="I1379" s="83"/>
    </row>
    <row r="1380" spans="8:9" s="79" customFormat="1" x14ac:dyDescent="0.2">
      <c r="H1380" s="104"/>
      <c r="I1380" s="83"/>
    </row>
    <row r="1381" spans="8:9" s="79" customFormat="1" x14ac:dyDescent="0.2">
      <c r="H1381" s="104"/>
      <c r="I1381" s="83"/>
    </row>
    <row r="1382" spans="8:9" s="79" customFormat="1" x14ac:dyDescent="0.2">
      <c r="H1382" s="104"/>
      <c r="I1382" s="83"/>
    </row>
    <row r="1383" spans="8:9" s="79" customFormat="1" x14ac:dyDescent="0.2">
      <c r="H1383" s="104"/>
      <c r="I1383" s="83"/>
    </row>
    <row r="1384" spans="8:9" s="79" customFormat="1" x14ac:dyDescent="0.2">
      <c r="H1384" s="104"/>
      <c r="I1384" s="83"/>
    </row>
    <row r="1385" spans="8:9" s="79" customFormat="1" x14ac:dyDescent="0.2">
      <c r="H1385" s="104"/>
      <c r="I1385" s="83"/>
    </row>
    <row r="1386" spans="8:9" s="79" customFormat="1" x14ac:dyDescent="0.2">
      <c r="H1386" s="104"/>
      <c r="I1386" s="83"/>
    </row>
    <row r="1387" spans="8:9" s="79" customFormat="1" x14ac:dyDescent="0.2">
      <c r="H1387" s="104"/>
      <c r="I1387" s="83"/>
    </row>
    <row r="1388" spans="8:9" s="79" customFormat="1" x14ac:dyDescent="0.2">
      <c r="H1388" s="104"/>
      <c r="I1388" s="83"/>
    </row>
    <row r="1389" spans="8:9" s="79" customFormat="1" x14ac:dyDescent="0.2">
      <c r="H1389" s="104"/>
      <c r="I1389" s="83"/>
    </row>
    <row r="1390" spans="8:9" s="79" customFormat="1" x14ac:dyDescent="0.2">
      <c r="H1390" s="104"/>
      <c r="I1390" s="83"/>
    </row>
    <row r="1391" spans="8:9" s="79" customFormat="1" x14ac:dyDescent="0.2">
      <c r="H1391" s="104"/>
      <c r="I1391" s="83"/>
    </row>
    <row r="1392" spans="8:9" s="79" customFormat="1" x14ac:dyDescent="0.2">
      <c r="H1392" s="104"/>
      <c r="I1392" s="83"/>
    </row>
    <row r="1393" spans="8:9" s="79" customFormat="1" x14ac:dyDescent="0.2">
      <c r="H1393" s="104"/>
      <c r="I1393" s="83"/>
    </row>
    <row r="1394" spans="8:9" s="79" customFormat="1" x14ac:dyDescent="0.2">
      <c r="H1394" s="104"/>
      <c r="I1394" s="83"/>
    </row>
    <row r="1395" spans="8:9" s="79" customFormat="1" x14ac:dyDescent="0.2">
      <c r="H1395" s="104"/>
      <c r="I1395" s="83"/>
    </row>
    <row r="1396" spans="8:9" s="79" customFormat="1" x14ac:dyDescent="0.2">
      <c r="H1396" s="104"/>
      <c r="I1396" s="83"/>
    </row>
    <row r="1397" spans="8:9" s="79" customFormat="1" x14ac:dyDescent="0.2">
      <c r="H1397" s="104"/>
      <c r="I1397" s="83"/>
    </row>
    <row r="1398" spans="8:9" s="79" customFormat="1" x14ac:dyDescent="0.2">
      <c r="H1398" s="104"/>
      <c r="I1398" s="83"/>
    </row>
    <row r="1399" spans="8:9" s="79" customFormat="1" x14ac:dyDescent="0.2">
      <c r="H1399" s="104"/>
      <c r="I1399" s="83"/>
    </row>
    <row r="1400" spans="8:9" s="79" customFormat="1" x14ac:dyDescent="0.2">
      <c r="H1400" s="104"/>
      <c r="I1400" s="83"/>
    </row>
    <row r="1401" spans="8:9" s="79" customFormat="1" x14ac:dyDescent="0.2">
      <c r="H1401" s="104"/>
      <c r="I1401" s="83"/>
    </row>
    <row r="1402" spans="8:9" s="79" customFormat="1" x14ac:dyDescent="0.2">
      <c r="H1402" s="104"/>
      <c r="I1402" s="83"/>
    </row>
    <row r="1403" spans="8:9" s="79" customFormat="1" x14ac:dyDescent="0.2">
      <c r="H1403" s="104"/>
      <c r="I1403" s="83"/>
    </row>
    <row r="1404" spans="8:9" s="79" customFormat="1" x14ac:dyDescent="0.2">
      <c r="H1404" s="104"/>
      <c r="I1404" s="83"/>
    </row>
    <row r="1405" spans="8:9" s="79" customFormat="1" x14ac:dyDescent="0.2">
      <c r="H1405" s="104"/>
      <c r="I1405" s="83"/>
    </row>
    <row r="1406" spans="8:9" s="79" customFormat="1" x14ac:dyDescent="0.2">
      <c r="H1406" s="104"/>
      <c r="I1406" s="83"/>
    </row>
    <row r="1407" spans="8:9" s="79" customFormat="1" x14ac:dyDescent="0.2">
      <c r="H1407" s="104"/>
      <c r="I1407" s="83"/>
    </row>
    <row r="1408" spans="8:9" s="79" customFormat="1" x14ac:dyDescent="0.2">
      <c r="H1408" s="104"/>
      <c r="I1408" s="83"/>
    </row>
    <row r="1409" spans="8:9" s="79" customFormat="1" x14ac:dyDescent="0.2">
      <c r="H1409" s="104"/>
      <c r="I1409" s="83"/>
    </row>
    <row r="1410" spans="8:9" s="79" customFormat="1" x14ac:dyDescent="0.2">
      <c r="H1410" s="104"/>
      <c r="I1410" s="83"/>
    </row>
    <row r="1411" spans="8:9" s="79" customFormat="1" x14ac:dyDescent="0.2">
      <c r="H1411" s="104"/>
      <c r="I1411" s="83"/>
    </row>
    <row r="1412" spans="8:9" s="79" customFormat="1" x14ac:dyDescent="0.2">
      <c r="H1412" s="104"/>
      <c r="I1412" s="83"/>
    </row>
    <row r="1413" spans="8:9" s="79" customFormat="1" x14ac:dyDescent="0.2">
      <c r="H1413" s="104"/>
      <c r="I1413" s="83"/>
    </row>
    <row r="1414" spans="8:9" s="79" customFormat="1" x14ac:dyDescent="0.2">
      <c r="H1414" s="104"/>
      <c r="I1414" s="83"/>
    </row>
    <row r="1415" spans="8:9" s="79" customFormat="1" x14ac:dyDescent="0.2">
      <c r="H1415" s="104"/>
      <c r="I1415" s="83"/>
    </row>
  </sheetData>
  <autoFilter ref="A15:R443"/>
  <mergeCells count="21">
    <mergeCell ref="E10:H10"/>
    <mergeCell ref="N10:T10"/>
    <mergeCell ref="E1:H1"/>
    <mergeCell ref="E2:H2"/>
    <mergeCell ref="E3:H3"/>
    <mergeCell ref="E4:H4"/>
    <mergeCell ref="E5:H5"/>
    <mergeCell ref="E7:H7"/>
    <mergeCell ref="N7:T7"/>
    <mergeCell ref="E8:H8"/>
    <mergeCell ref="N8:T8"/>
    <mergeCell ref="E9:H9"/>
    <mergeCell ref="N9:T9"/>
    <mergeCell ref="A443:E443"/>
    <mergeCell ref="J443:N443"/>
    <mergeCell ref="E11:H11"/>
    <mergeCell ref="N11:Q11"/>
    <mergeCell ref="A12:H12"/>
    <mergeCell ref="J12:T12"/>
    <mergeCell ref="A13:H13"/>
    <mergeCell ref="J13:T13"/>
  </mergeCells>
  <pageMargins left="0.59055118110236227" right="0" top="0" bottom="0" header="0.51181102362204722" footer="0.51181102362204722"/>
  <pageSetup paperSize="9" scale="5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1566"/>
  <sheetViews>
    <sheetView tabSelected="1" view="pageBreakPreview" topLeftCell="A553" zoomScaleNormal="100" zoomScaleSheetLayoutView="100" workbookViewId="0">
      <selection activeCell="F569" sqref="F569"/>
    </sheetView>
  </sheetViews>
  <sheetFormatPr defaultRowHeight="12.75" x14ac:dyDescent="0.2"/>
  <cols>
    <col min="1" max="1" width="3" style="79" customWidth="1"/>
    <col min="2" max="2" width="47.85546875" style="79" customWidth="1"/>
    <col min="3" max="3" width="8.85546875" style="79" customWidth="1"/>
    <col min="4" max="5" width="7.28515625" style="79" customWidth="1"/>
    <col min="6" max="6" width="10.140625" style="79" customWidth="1"/>
    <col min="7" max="7" width="5.7109375" style="79" customWidth="1"/>
    <col min="8" max="8" width="15.42578125" style="80" hidden="1" customWidth="1"/>
    <col min="9" max="9" width="15.28515625" style="80" customWidth="1"/>
    <col min="10" max="10" width="14.42578125" style="80" customWidth="1"/>
    <col min="11" max="11" width="12.28515625" style="79" customWidth="1"/>
    <col min="12" max="12" width="11.42578125" style="79" customWidth="1"/>
    <col min="13" max="16384" width="9.140625" style="79"/>
  </cols>
  <sheetData>
    <row r="1" spans="2:10" ht="15" x14ac:dyDescent="0.25">
      <c r="B1" s="117" t="s">
        <v>930</v>
      </c>
      <c r="C1" s="117"/>
      <c r="D1" s="117"/>
      <c r="E1" s="117"/>
      <c r="F1" s="117"/>
      <c r="G1" s="117"/>
      <c r="H1" s="117"/>
      <c r="I1" s="117"/>
      <c r="J1" s="117"/>
    </row>
    <row r="2" spans="2:10" ht="15" x14ac:dyDescent="0.25">
      <c r="B2" s="117" t="s">
        <v>1197</v>
      </c>
      <c r="C2" s="117"/>
      <c r="D2" s="117"/>
      <c r="E2" s="117"/>
      <c r="F2" s="117"/>
      <c r="G2" s="117"/>
      <c r="H2" s="117"/>
      <c r="I2" s="117"/>
      <c r="J2" s="117"/>
    </row>
    <row r="3" spans="2:10" ht="15" x14ac:dyDescent="0.25">
      <c r="B3" s="117" t="s">
        <v>1198</v>
      </c>
      <c r="C3" s="117"/>
      <c r="D3" s="117"/>
      <c r="E3" s="117"/>
      <c r="F3" s="117"/>
      <c r="G3" s="117"/>
      <c r="H3" s="117"/>
      <c r="I3" s="117"/>
      <c r="J3" s="117"/>
    </row>
    <row r="4" spans="2:10" ht="15" x14ac:dyDescent="0.25">
      <c r="B4" s="117" t="s">
        <v>928</v>
      </c>
      <c r="C4" s="117"/>
      <c r="D4" s="117"/>
      <c r="E4" s="117"/>
      <c r="F4" s="117"/>
      <c r="G4" s="117"/>
      <c r="H4" s="117"/>
      <c r="I4" s="117"/>
      <c r="J4" s="117"/>
    </row>
    <row r="5" spans="2:10" ht="15" x14ac:dyDescent="0.25">
      <c r="B5" s="120" t="s">
        <v>931</v>
      </c>
      <c r="C5" s="120"/>
      <c r="D5" s="120"/>
      <c r="E5" s="120"/>
      <c r="F5" s="120"/>
      <c r="G5" s="120"/>
      <c r="H5" s="120"/>
      <c r="I5" s="120"/>
      <c r="J5" s="120"/>
    </row>
    <row r="6" spans="2:10" x14ac:dyDescent="0.2">
      <c r="B6" s="123"/>
      <c r="C6" s="123"/>
      <c r="D6" s="123"/>
      <c r="E6" s="123"/>
      <c r="F6" s="123"/>
      <c r="G6" s="123"/>
      <c r="H6" s="123"/>
      <c r="I6" s="123"/>
      <c r="J6" s="123"/>
    </row>
    <row r="7" spans="2:10" ht="15" x14ac:dyDescent="0.25">
      <c r="B7" s="117" t="s">
        <v>1200</v>
      </c>
      <c r="C7" s="117"/>
      <c r="D7" s="117"/>
      <c r="E7" s="117"/>
      <c r="F7" s="117"/>
      <c r="G7" s="117"/>
      <c r="H7" s="117"/>
      <c r="I7" s="117"/>
      <c r="J7" s="117"/>
    </row>
    <row r="8" spans="2:10" ht="15" x14ac:dyDescent="0.25">
      <c r="B8" s="117" t="s">
        <v>1199</v>
      </c>
      <c r="C8" s="117"/>
      <c r="D8" s="117"/>
      <c r="E8" s="117"/>
      <c r="F8" s="117"/>
      <c r="G8" s="117"/>
      <c r="H8" s="117"/>
      <c r="I8" s="117"/>
      <c r="J8" s="117"/>
    </row>
    <row r="9" spans="2:10" ht="15" x14ac:dyDescent="0.25">
      <c r="B9" s="117" t="s">
        <v>416</v>
      </c>
      <c r="C9" s="117"/>
      <c r="D9" s="117"/>
      <c r="E9" s="117"/>
      <c r="F9" s="117"/>
      <c r="G9" s="117"/>
      <c r="H9" s="117"/>
      <c r="I9" s="117"/>
      <c r="J9" s="117"/>
    </row>
    <row r="10" spans="2:10" ht="15" x14ac:dyDescent="0.25">
      <c r="B10" s="120" t="s">
        <v>932</v>
      </c>
      <c r="C10" s="120"/>
      <c r="D10" s="120"/>
      <c r="E10" s="120"/>
      <c r="F10" s="120"/>
      <c r="G10" s="120"/>
      <c r="H10" s="120"/>
      <c r="I10" s="120"/>
      <c r="J10" s="120"/>
    </row>
    <row r="11" spans="2:10" ht="15" x14ac:dyDescent="0.25">
      <c r="H11" s="117"/>
      <c r="I11" s="117"/>
      <c r="J11" s="117"/>
    </row>
    <row r="12" spans="2:10" ht="18.75" x14ac:dyDescent="0.2">
      <c r="B12" s="121" t="s">
        <v>676</v>
      </c>
      <c r="C12" s="121"/>
      <c r="D12" s="121"/>
      <c r="E12" s="121"/>
      <c r="F12" s="121"/>
      <c r="G12" s="121"/>
      <c r="H12" s="121"/>
      <c r="I12" s="121"/>
      <c r="J12" s="121"/>
    </row>
    <row r="13" spans="2:10" ht="18.75" x14ac:dyDescent="0.2">
      <c r="B13" s="122" t="s">
        <v>1201</v>
      </c>
      <c r="C13" s="122"/>
      <c r="D13" s="122"/>
      <c r="E13" s="122"/>
      <c r="F13" s="122"/>
      <c r="G13" s="122"/>
      <c r="H13" s="122"/>
      <c r="I13" s="122"/>
      <c r="J13" s="122"/>
    </row>
    <row r="14" spans="2:10" ht="18" x14ac:dyDescent="0.2">
      <c r="B14" s="111"/>
      <c r="C14" s="111"/>
      <c r="D14" s="111"/>
      <c r="E14" s="111"/>
      <c r="F14" s="111"/>
      <c r="G14" s="111"/>
      <c r="H14" s="111"/>
      <c r="I14" s="111"/>
      <c r="J14" s="110" t="s">
        <v>1046</v>
      </c>
    </row>
    <row r="15" spans="2:10" ht="63" x14ac:dyDescent="0.2">
      <c r="B15" s="70" t="s">
        <v>1030</v>
      </c>
      <c r="C15" s="70" t="s">
        <v>1023</v>
      </c>
      <c r="D15" s="70" t="s">
        <v>1026</v>
      </c>
      <c r="E15" s="70" t="s">
        <v>1027</v>
      </c>
      <c r="F15" s="70" t="s">
        <v>1028</v>
      </c>
      <c r="G15" s="70" t="s">
        <v>1029</v>
      </c>
      <c r="H15" s="70" t="s">
        <v>677</v>
      </c>
      <c r="I15" s="70" t="s">
        <v>1024</v>
      </c>
      <c r="J15" s="70" t="s">
        <v>1025</v>
      </c>
    </row>
    <row r="16" spans="2:10" x14ac:dyDescent="0.2">
      <c r="B16" s="71" t="s">
        <v>452</v>
      </c>
      <c r="C16" s="71" t="s">
        <v>453</v>
      </c>
      <c r="D16" s="71" t="s">
        <v>454</v>
      </c>
      <c r="E16" s="71" t="s">
        <v>455</v>
      </c>
      <c r="F16" s="71" t="s">
        <v>456</v>
      </c>
      <c r="G16" s="71" t="s">
        <v>457</v>
      </c>
      <c r="H16" s="72"/>
      <c r="I16" s="71" t="s">
        <v>56</v>
      </c>
      <c r="J16" s="71" t="s">
        <v>80</v>
      </c>
    </row>
    <row r="17" spans="2:10" ht="21" x14ac:dyDescent="0.2">
      <c r="B17" s="69" t="s">
        <v>459</v>
      </c>
      <c r="C17" s="70" t="s">
        <v>458</v>
      </c>
      <c r="D17" s="70"/>
      <c r="E17" s="73"/>
      <c r="F17" s="70"/>
      <c r="G17" s="70"/>
      <c r="H17" s="68">
        <f>H18+H21+H32+H54+H63+H68+H133+H136+H149+H174+H194+H209+H213+H250+H266+H280+H284+H297+H300+H304+H308+H319+H60+H190+H238+H312+H235+H270+H274</f>
        <v>63014960</v>
      </c>
      <c r="I17" s="68">
        <f>J17-H17</f>
        <v>4681518.5699999928</v>
      </c>
      <c r="J17" s="68">
        <f>J18+J21+J32+J54+J63+J68+J133+J136+J149+J174+J194+J209+J213+J250+J266+J280+J284+J297+J300+J304+J308+J319+J60+J190+J238+J312+J235+J270+J274</f>
        <v>67696478.569999993</v>
      </c>
    </row>
    <row r="18" spans="2:10" ht="21" x14ac:dyDescent="0.2">
      <c r="B18" s="74" t="s">
        <v>461</v>
      </c>
      <c r="C18" s="63" t="s">
        <v>458</v>
      </c>
      <c r="D18" s="63" t="s">
        <v>1031</v>
      </c>
      <c r="E18" s="63" t="s">
        <v>1032</v>
      </c>
      <c r="F18" s="63"/>
      <c r="G18" s="63"/>
      <c r="H18" s="66">
        <f>H19</f>
        <v>1349660</v>
      </c>
      <c r="I18" s="66">
        <f t="shared" ref="I18:I81" si="0">J18-H18</f>
        <v>0</v>
      </c>
      <c r="J18" s="66">
        <f>J19</f>
        <v>1349660</v>
      </c>
    </row>
    <row r="19" spans="2:10" ht="21" x14ac:dyDescent="0.2">
      <c r="B19" s="74" t="s">
        <v>679</v>
      </c>
      <c r="C19" s="63" t="s">
        <v>458</v>
      </c>
      <c r="D19" s="63" t="s">
        <v>1031</v>
      </c>
      <c r="E19" s="63" t="s">
        <v>1032</v>
      </c>
      <c r="F19" s="63" t="s">
        <v>678</v>
      </c>
      <c r="G19" s="63"/>
      <c r="H19" s="66">
        <f>H20</f>
        <v>1349660</v>
      </c>
      <c r="I19" s="66">
        <f t="shared" si="0"/>
        <v>0</v>
      </c>
      <c r="J19" s="66">
        <f>J20</f>
        <v>1349660</v>
      </c>
    </row>
    <row r="20" spans="2:10" x14ac:dyDescent="0.2">
      <c r="B20" s="74" t="s">
        <v>422</v>
      </c>
      <c r="C20" s="63" t="s">
        <v>458</v>
      </c>
      <c r="D20" s="63" t="s">
        <v>1031</v>
      </c>
      <c r="E20" s="63" t="s">
        <v>1032</v>
      </c>
      <c r="F20" s="63" t="s">
        <v>678</v>
      </c>
      <c r="G20" s="63">
        <v>121</v>
      </c>
      <c r="H20" s="66">
        <f>1036600+313060</f>
        <v>1349660</v>
      </c>
      <c r="I20" s="66">
        <f t="shared" si="0"/>
        <v>0</v>
      </c>
      <c r="J20" s="66">
        <f>1036600+313060</f>
        <v>1349660</v>
      </c>
    </row>
    <row r="21" spans="2:10" ht="31.5" x14ac:dyDescent="0.2">
      <c r="B21" s="74" t="s">
        <v>467</v>
      </c>
      <c r="C21" s="63" t="s">
        <v>458</v>
      </c>
      <c r="D21" s="63" t="s">
        <v>1031</v>
      </c>
      <c r="E21" s="63" t="s">
        <v>1033</v>
      </c>
      <c r="F21" s="63"/>
      <c r="G21" s="63"/>
      <c r="H21" s="66">
        <f>H27+H22+H24</f>
        <v>1876580</v>
      </c>
      <c r="I21" s="66">
        <f t="shared" si="0"/>
        <v>36000</v>
      </c>
      <c r="J21" s="66">
        <f>J27+J22+J24</f>
        <v>1912580</v>
      </c>
    </row>
    <row r="22" spans="2:10" ht="21" x14ac:dyDescent="0.2">
      <c r="B22" s="74" t="s">
        <v>469</v>
      </c>
      <c r="C22" s="63" t="s">
        <v>458</v>
      </c>
      <c r="D22" s="63" t="s">
        <v>1031</v>
      </c>
      <c r="E22" s="63" t="s">
        <v>1033</v>
      </c>
      <c r="F22" s="63" t="s">
        <v>908</v>
      </c>
      <c r="G22" s="63"/>
      <c r="H22" s="66">
        <f>H23</f>
        <v>1349660</v>
      </c>
      <c r="I22" s="66">
        <f t="shared" si="0"/>
        <v>0</v>
      </c>
      <c r="J22" s="66">
        <f>J23</f>
        <v>1349660</v>
      </c>
    </row>
    <row r="23" spans="2:10" x14ac:dyDescent="0.2">
      <c r="B23" s="74" t="s">
        <v>422</v>
      </c>
      <c r="C23" s="63" t="s">
        <v>458</v>
      </c>
      <c r="D23" s="63" t="s">
        <v>1031</v>
      </c>
      <c r="E23" s="63" t="s">
        <v>1033</v>
      </c>
      <c r="F23" s="63" t="s">
        <v>908</v>
      </c>
      <c r="G23" s="63">
        <v>121</v>
      </c>
      <c r="H23" s="66">
        <f>1036600+313060</f>
        <v>1349660</v>
      </c>
      <c r="I23" s="66">
        <f t="shared" si="0"/>
        <v>0</v>
      </c>
      <c r="J23" s="66">
        <f>1036600+313060</f>
        <v>1349660</v>
      </c>
    </row>
    <row r="24" spans="2:10" ht="21" x14ac:dyDescent="0.2">
      <c r="B24" s="74" t="s">
        <v>471</v>
      </c>
      <c r="C24" s="63" t="s">
        <v>458</v>
      </c>
      <c r="D24" s="63" t="s">
        <v>1031</v>
      </c>
      <c r="E24" s="63" t="s">
        <v>1033</v>
      </c>
      <c r="F24" s="63" t="s">
        <v>909</v>
      </c>
      <c r="G24" s="63"/>
      <c r="H24" s="66">
        <f>H25+H26</f>
        <v>114000</v>
      </c>
      <c r="I24" s="66">
        <f t="shared" si="0"/>
        <v>0</v>
      </c>
      <c r="J24" s="66">
        <f>J25+J26</f>
        <v>114000</v>
      </c>
    </row>
    <row r="25" spans="2:10" ht="21" x14ac:dyDescent="0.2">
      <c r="B25" s="74" t="s">
        <v>432</v>
      </c>
      <c r="C25" s="63" t="s">
        <v>458</v>
      </c>
      <c r="D25" s="63" t="s">
        <v>1031</v>
      </c>
      <c r="E25" s="63" t="s">
        <v>1033</v>
      </c>
      <c r="F25" s="63" t="s">
        <v>909</v>
      </c>
      <c r="G25" s="63">
        <v>122</v>
      </c>
      <c r="H25" s="65">
        <v>6000</v>
      </c>
      <c r="I25" s="66">
        <f t="shared" si="0"/>
        <v>0</v>
      </c>
      <c r="J25" s="65">
        <v>6000</v>
      </c>
    </row>
    <row r="26" spans="2:10" x14ac:dyDescent="0.2">
      <c r="B26" s="74" t="s">
        <v>680</v>
      </c>
      <c r="C26" s="63" t="s">
        <v>458</v>
      </c>
      <c r="D26" s="63" t="s">
        <v>1031</v>
      </c>
      <c r="E26" s="63" t="s">
        <v>1033</v>
      </c>
      <c r="F26" s="63" t="s">
        <v>909</v>
      </c>
      <c r="G26" s="63">
        <v>123</v>
      </c>
      <c r="H26" s="65">
        <v>108000</v>
      </c>
      <c r="I26" s="66">
        <f t="shared" si="0"/>
        <v>0</v>
      </c>
      <c r="J26" s="65">
        <v>108000</v>
      </c>
    </row>
    <row r="27" spans="2:10" ht="21" x14ac:dyDescent="0.2">
      <c r="B27" s="74" t="s">
        <v>681</v>
      </c>
      <c r="C27" s="63" t="s">
        <v>458</v>
      </c>
      <c r="D27" s="63" t="s">
        <v>1031</v>
      </c>
      <c r="E27" s="63" t="s">
        <v>1033</v>
      </c>
      <c r="F27" s="63" t="s">
        <v>910</v>
      </c>
      <c r="G27" s="63"/>
      <c r="H27" s="65">
        <f>H28+H29+H30+H31</f>
        <v>412920</v>
      </c>
      <c r="I27" s="66">
        <f t="shared" si="0"/>
        <v>36000</v>
      </c>
      <c r="J27" s="65">
        <f>J28+J29+J30+J31</f>
        <v>448920</v>
      </c>
    </row>
    <row r="28" spans="2:10" ht="21" x14ac:dyDescent="0.2">
      <c r="B28" s="74" t="s">
        <v>432</v>
      </c>
      <c r="C28" s="63" t="s">
        <v>458</v>
      </c>
      <c r="D28" s="63" t="s">
        <v>1031</v>
      </c>
      <c r="E28" s="63" t="s">
        <v>1033</v>
      </c>
      <c r="F28" s="63" t="s">
        <v>910</v>
      </c>
      <c r="G28" s="63">
        <v>121</v>
      </c>
      <c r="H28" s="65">
        <f>260700+78720</f>
        <v>339420</v>
      </c>
      <c r="I28" s="66">
        <f t="shared" si="0"/>
        <v>0</v>
      </c>
      <c r="J28" s="65">
        <f>260700+78720</f>
        <v>339420</v>
      </c>
    </row>
    <row r="29" spans="2:10" ht="21" x14ac:dyDescent="0.2">
      <c r="B29" s="74" t="s">
        <v>434</v>
      </c>
      <c r="C29" s="63" t="s">
        <v>458</v>
      </c>
      <c r="D29" s="63" t="s">
        <v>1031</v>
      </c>
      <c r="E29" s="63" t="s">
        <v>1033</v>
      </c>
      <c r="F29" s="63" t="s">
        <v>910</v>
      </c>
      <c r="G29" s="63">
        <v>122</v>
      </c>
      <c r="H29" s="65">
        <f>3000+15000</f>
        <v>18000</v>
      </c>
      <c r="I29" s="66">
        <f t="shared" si="0"/>
        <v>11000</v>
      </c>
      <c r="J29" s="65">
        <v>29000</v>
      </c>
    </row>
    <row r="30" spans="2:10" ht="21" x14ac:dyDescent="0.2">
      <c r="B30" s="74" t="s">
        <v>433</v>
      </c>
      <c r="C30" s="63" t="s">
        <v>458</v>
      </c>
      <c r="D30" s="63" t="s">
        <v>1031</v>
      </c>
      <c r="E30" s="63" t="s">
        <v>1033</v>
      </c>
      <c r="F30" s="63" t="s">
        <v>910</v>
      </c>
      <c r="G30" s="63">
        <v>242</v>
      </c>
      <c r="H30" s="66">
        <f>1500+1500</f>
        <v>3000</v>
      </c>
      <c r="I30" s="66">
        <f t="shared" si="0"/>
        <v>0</v>
      </c>
      <c r="J30" s="66">
        <f>1500+1500</f>
        <v>3000</v>
      </c>
    </row>
    <row r="31" spans="2:10" ht="21" x14ac:dyDescent="0.2">
      <c r="B31" s="74" t="s">
        <v>434</v>
      </c>
      <c r="C31" s="63" t="s">
        <v>458</v>
      </c>
      <c r="D31" s="63" t="s">
        <v>1031</v>
      </c>
      <c r="E31" s="63" t="s">
        <v>1033</v>
      </c>
      <c r="F31" s="63" t="s">
        <v>910</v>
      </c>
      <c r="G31" s="63">
        <v>244</v>
      </c>
      <c r="H31" s="66">
        <f>2500+50000</f>
        <v>52500</v>
      </c>
      <c r="I31" s="66">
        <f t="shared" si="0"/>
        <v>25000</v>
      </c>
      <c r="J31" s="66">
        <v>77500</v>
      </c>
    </row>
    <row r="32" spans="2:10" ht="31.5" x14ac:dyDescent="0.2">
      <c r="B32" s="74" t="s">
        <v>473</v>
      </c>
      <c r="C32" s="63" t="s">
        <v>458</v>
      </c>
      <c r="D32" s="63" t="s">
        <v>1031</v>
      </c>
      <c r="E32" s="63" t="s">
        <v>1034</v>
      </c>
      <c r="F32" s="63"/>
      <c r="G32" s="63"/>
      <c r="H32" s="66">
        <f>+H36+H43+H47+H45+H34+H38</f>
        <v>17282708</v>
      </c>
      <c r="I32" s="66">
        <f t="shared" si="0"/>
        <v>-133100</v>
      </c>
      <c r="J32" s="66">
        <f>+J36+J43+J47+J45+J34+J38</f>
        <v>17149608</v>
      </c>
    </row>
    <row r="33" spans="2:10" ht="84" hidden="1" x14ac:dyDescent="0.2">
      <c r="B33" s="74" t="s">
        <v>999</v>
      </c>
      <c r="C33" s="63" t="s">
        <v>458</v>
      </c>
      <c r="D33" s="63" t="s">
        <v>1031</v>
      </c>
      <c r="E33" s="63" t="s">
        <v>1034</v>
      </c>
      <c r="F33" s="63" t="s">
        <v>773</v>
      </c>
      <c r="G33" s="63"/>
      <c r="H33" s="65">
        <f t="shared" ref="H33:J34" si="1">H34</f>
        <v>0</v>
      </c>
      <c r="I33" s="66">
        <f t="shared" si="0"/>
        <v>0</v>
      </c>
      <c r="J33" s="65">
        <f t="shared" si="1"/>
        <v>0</v>
      </c>
    </row>
    <row r="34" spans="2:10" ht="63" hidden="1" x14ac:dyDescent="0.2">
      <c r="B34" s="74" t="s">
        <v>1000</v>
      </c>
      <c r="C34" s="63" t="s">
        <v>458</v>
      </c>
      <c r="D34" s="63" t="s">
        <v>1031</v>
      </c>
      <c r="E34" s="63" t="s">
        <v>1034</v>
      </c>
      <c r="F34" s="63" t="s">
        <v>775</v>
      </c>
      <c r="G34" s="63"/>
      <c r="H34" s="65">
        <f t="shared" si="1"/>
        <v>0</v>
      </c>
      <c r="I34" s="66">
        <f t="shared" si="0"/>
        <v>0</v>
      </c>
      <c r="J34" s="65">
        <f t="shared" si="1"/>
        <v>0</v>
      </c>
    </row>
    <row r="35" spans="2:10" ht="21" hidden="1" x14ac:dyDescent="0.2">
      <c r="B35" s="74" t="s">
        <v>433</v>
      </c>
      <c r="C35" s="63" t="s">
        <v>458</v>
      </c>
      <c r="D35" s="63" t="s">
        <v>1031</v>
      </c>
      <c r="E35" s="63" t="s">
        <v>1034</v>
      </c>
      <c r="F35" s="63" t="s">
        <v>775</v>
      </c>
      <c r="G35" s="63" t="s">
        <v>427</v>
      </c>
      <c r="H35" s="65">
        <v>0</v>
      </c>
      <c r="I35" s="66">
        <f t="shared" si="0"/>
        <v>0</v>
      </c>
      <c r="J35" s="65">
        <v>0</v>
      </c>
    </row>
    <row r="36" spans="2:10" ht="63.75" customHeight="1" x14ac:dyDescent="0.2">
      <c r="B36" s="107" t="s">
        <v>1210</v>
      </c>
      <c r="C36" s="63" t="s">
        <v>458</v>
      </c>
      <c r="D36" s="63" t="s">
        <v>1031</v>
      </c>
      <c r="E36" s="63" t="s">
        <v>1034</v>
      </c>
      <c r="F36" s="63" t="s">
        <v>957</v>
      </c>
      <c r="G36" s="63"/>
      <c r="H36" s="65">
        <f>H37</f>
        <v>0</v>
      </c>
      <c r="I36" s="66">
        <f t="shared" si="0"/>
        <v>100</v>
      </c>
      <c r="J36" s="65">
        <f>J37</f>
        <v>100</v>
      </c>
    </row>
    <row r="37" spans="2:10" ht="21" x14ac:dyDescent="0.2">
      <c r="B37" s="74" t="s">
        <v>434</v>
      </c>
      <c r="C37" s="63" t="s">
        <v>458</v>
      </c>
      <c r="D37" s="63" t="s">
        <v>1031</v>
      </c>
      <c r="E37" s="63" t="s">
        <v>1034</v>
      </c>
      <c r="F37" s="63" t="s">
        <v>957</v>
      </c>
      <c r="G37" s="63" t="s">
        <v>423</v>
      </c>
      <c r="H37" s="65">
        <v>0</v>
      </c>
      <c r="I37" s="66">
        <f t="shared" si="0"/>
        <v>100</v>
      </c>
      <c r="J37" s="65">
        <v>100</v>
      </c>
    </row>
    <row r="38" spans="2:10" ht="31.5" x14ac:dyDescent="0.2">
      <c r="B38" s="107" t="s">
        <v>683</v>
      </c>
      <c r="C38" s="63" t="s">
        <v>458</v>
      </c>
      <c r="D38" s="63" t="s">
        <v>1031</v>
      </c>
      <c r="E38" s="63" t="s">
        <v>1034</v>
      </c>
      <c r="F38" s="63" t="s">
        <v>1047</v>
      </c>
      <c r="G38" s="63"/>
      <c r="H38" s="65">
        <f>H39+H40+H41+H42</f>
        <v>823000</v>
      </c>
      <c r="I38" s="66">
        <f t="shared" si="0"/>
        <v>0</v>
      </c>
      <c r="J38" s="65">
        <f>J39+J40+J41+J42</f>
        <v>823000</v>
      </c>
    </row>
    <row r="39" spans="2:10" x14ac:dyDescent="0.2">
      <c r="B39" s="74" t="s">
        <v>431</v>
      </c>
      <c r="C39" s="63" t="s">
        <v>458</v>
      </c>
      <c r="D39" s="63" t="s">
        <v>1031</v>
      </c>
      <c r="E39" s="63" t="s">
        <v>1034</v>
      </c>
      <c r="F39" s="63" t="s">
        <v>1047</v>
      </c>
      <c r="G39" s="63" t="s">
        <v>424</v>
      </c>
      <c r="H39" s="65">
        <f>496460+149940</f>
        <v>646400</v>
      </c>
      <c r="I39" s="66">
        <f t="shared" si="0"/>
        <v>0</v>
      </c>
      <c r="J39" s="65">
        <f>496460+149940</f>
        <v>646400</v>
      </c>
    </row>
    <row r="40" spans="2:10" ht="21" x14ac:dyDescent="0.2">
      <c r="B40" s="74" t="s">
        <v>432</v>
      </c>
      <c r="C40" s="63" t="s">
        <v>458</v>
      </c>
      <c r="D40" s="63" t="s">
        <v>1031</v>
      </c>
      <c r="E40" s="63" t="s">
        <v>1034</v>
      </c>
      <c r="F40" s="63" t="s">
        <v>1047</v>
      </c>
      <c r="G40" s="63" t="s">
        <v>425</v>
      </c>
      <c r="H40" s="65">
        <f>3200+8500+9600</f>
        <v>21300</v>
      </c>
      <c r="I40" s="66">
        <f t="shared" si="0"/>
        <v>0</v>
      </c>
      <c r="J40" s="65">
        <f>3200+8500+9600</f>
        <v>21300</v>
      </c>
    </row>
    <row r="41" spans="2:10" ht="21" x14ac:dyDescent="0.2">
      <c r="B41" s="74" t="s">
        <v>433</v>
      </c>
      <c r="C41" s="63" t="s">
        <v>458</v>
      </c>
      <c r="D41" s="63" t="s">
        <v>1031</v>
      </c>
      <c r="E41" s="63" t="s">
        <v>1034</v>
      </c>
      <c r="F41" s="63" t="s">
        <v>1047</v>
      </c>
      <c r="G41" s="63" t="s">
        <v>427</v>
      </c>
      <c r="H41" s="65">
        <f>14000+1800+26125</f>
        <v>41925</v>
      </c>
      <c r="I41" s="66">
        <f t="shared" si="0"/>
        <v>0</v>
      </c>
      <c r="J41" s="65">
        <f>14000+1800+26125</f>
        <v>41925</v>
      </c>
    </row>
    <row r="42" spans="2:10" ht="21" x14ac:dyDescent="0.2">
      <c r="B42" s="74" t="s">
        <v>434</v>
      </c>
      <c r="C42" s="63" t="s">
        <v>458</v>
      </c>
      <c r="D42" s="63" t="s">
        <v>1031</v>
      </c>
      <c r="E42" s="63" t="s">
        <v>1034</v>
      </c>
      <c r="F42" s="63" t="s">
        <v>1047</v>
      </c>
      <c r="G42" s="63" t="s">
        <v>423</v>
      </c>
      <c r="H42" s="65">
        <f>6000+4000+11875+91500</f>
        <v>113375</v>
      </c>
      <c r="I42" s="66">
        <f t="shared" si="0"/>
        <v>0</v>
      </c>
      <c r="J42" s="65">
        <f>6000+4000+11875+91500</f>
        <v>113375</v>
      </c>
    </row>
    <row r="43" spans="2:10" ht="31.5" hidden="1" x14ac:dyDescent="0.2">
      <c r="B43" s="74" t="s">
        <v>683</v>
      </c>
      <c r="C43" s="63" t="s">
        <v>458</v>
      </c>
      <c r="D43" s="63" t="s">
        <v>1031</v>
      </c>
      <c r="E43" s="63" t="s">
        <v>1034</v>
      </c>
      <c r="F43" s="63" t="s">
        <v>684</v>
      </c>
      <c r="G43" s="63"/>
      <c r="H43" s="65">
        <f>H44</f>
        <v>0</v>
      </c>
      <c r="I43" s="66">
        <f t="shared" si="0"/>
        <v>0</v>
      </c>
      <c r="J43" s="65">
        <f>J44</f>
        <v>0</v>
      </c>
    </row>
    <row r="44" spans="2:10" hidden="1" x14ac:dyDescent="0.2">
      <c r="B44" s="74" t="s">
        <v>431</v>
      </c>
      <c r="C44" s="63" t="s">
        <v>458</v>
      </c>
      <c r="D44" s="63" t="s">
        <v>1031</v>
      </c>
      <c r="E44" s="63" t="s">
        <v>1034</v>
      </c>
      <c r="F44" s="63" t="s">
        <v>684</v>
      </c>
      <c r="G44" s="63" t="s">
        <v>424</v>
      </c>
      <c r="H44" s="65">
        <v>0</v>
      </c>
      <c r="I44" s="66">
        <f t="shared" si="0"/>
        <v>0</v>
      </c>
      <c r="J44" s="65">
        <v>0</v>
      </c>
    </row>
    <row r="45" spans="2:10" ht="21" x14ac:dyDescent="0.2">
      <c r="B45" s="74" t="s">
        <v>777</v>
      </c>
      <c r="C45" s="63" t="s">
        <v>458</v>
      </c>
      <c r="D45" s="63" t="s">
        <v>1031</v>
      </c>
      <c r="E45" s="63" t="s">
        <v>1034</v>
      </c>
      <c r="F45" s="63" t="s">
        <v>912</v>
      </c>
      <c r="G45" s="63"/>
      <c r="H45" s="65">
        <f>H46</f>
        <v>2506550</v>
      </c>
      <c r="I45" s="66">
        <f t="shared" si="0"/>
        <v>0</v>
      </c>
      <c r="J45" s="65">
        <f>J46</f>
        <v>2506550</v>
      </c>
    </row>
    <row r="46" spans="2:10" x14ac:dyDescent="0.2">
      <c r="B46" s="74" t="s">
        <v>431</v>
      </c>
      <c r="C46" s="63" t="s">
        <v>458</v>
      </c>
      <c r="D46" s="63" t="s">
        <v>1031</v>
      </c>
      <c r="E46" s="63" t="s">
        <v>1034</v>
      </c>
      <c r="F46" s="63" t="s">
        <v>912</v>
      </c>
      <c r="G46" s="63" t="s">
        <v>424</v>
      </c>
      <c r="H46" s="65">
        <f>1935600+570950</f>
        <v>2506550</v>
      </c>
      <c r="I46" s="66">
        <f t="shared" si="0"/>
        <v>0</v>
      </c>
      <c r="J46" s="65">
        <f>1935600+570950</f>
        <v>2506550</v>
      </c>
    </row>
    <row r="47" spans="2:10" ht="21" x14ac:dyDescent="0.2">
      <c r="B47" s="74" t="s">
        <v>685</v>
      </c>
      <c r="C47" s="63" t="s">
        <v>458</v>
      </c>
      <c r="D47" s="63" t="s">
        <v>1031</v>
      </c>
      <c r="E47" s="63" t="s">
        <v>1034</v>
      </c>
      <c r="F47" s="63" t="s">
        <v>911</v>
      </c>
      <c r="G47" s="63"/>
      <c r="H47" s="65">
        <f>H48+H49+H50+H51+H52+H53</f>
        <v>13953158</v>
      </c>
      <c r="I47" s="66">
        <f t="shared" si="0"/>
        <v>-133200</v>
      </c>
      <c r="J47" s="65">
        <f>J48+J49+J50+J51+J52+J53</f>
        <v>13819958</v>
      </c>
    </row>
    <row r="48" spans="2:10" x14ac:dyDescent="0.2">
      <c r="B48" s="74" t="s">
        <v>431</v>
      </c>
      <c r="C48" s="63" t="s">
        <v>458</v>
      </c>
      <c r="D48" s="63" t="s">
        <v>1031</v>
      </c>
      <c r="E48" s="63" t="s">
        <v>1034</v>
      </c>
      <c r="F48" s="63" t="s">
        <v>911</v>
      </c>
      <c r="G48" s="63" t="s">
        <v>424</v>
      </c>
      <c r="H48" s="65">
        <f>7642100+2308300</f>
        <v>9950400</v>
      </c>
      <c r="I48" s="66">
        <f t="shared" si="0"/>
        <v>0</v>
      </c>
      <c r="J48" s="65">
        <f>7642100+2308300</f>
        <v>9950400</v>
      </c>
    </row>
    <row r="49" spans="2:10" ht="21" x14ac:dyDescent="0.2">
      <c r="B49" s="74" t="s">
        <v>432</v>
      </c>
      <c r="C49" s="63" t="s">
        <v>458</v>
      </c>
      <c r="D49" s="63" t="s">
        <v>1031</v>
      </c>
      <c r="E49" s="63" t="s">
        <v>1034</v>
      </c>
      <c r="F49" s="63" t="s">
        <v>911</v>
      </c>
      <c r="G49" s="63" t="s">
        <v>425</v>
      </c>
      <c r="H49" s="65">
        <f>50000+90000+350000</f>
        <v>490000</v>
      </c>
      <c r="I49" s="66">
        <f t="shared" si="0"/>
        <v>0</v>
      </c>
      <c r="J49" s="65">
        <f>50000+90000+350000</f>
        <v>490000</v>
      </c>
    </row>
    <row r="50" spans="2:10" ht="21" x14ac:dyDescent="0.2">
      <c r="B50" s="74" t="s">
        <v>433</v>
      </c>
      <c r="C50" s="63" t="s">
        <v>458</v>
      </c>
      <c r="D50" s="63" t="s">
        <v>1031</v>
      </c>
      <c r="E50" s="63" t="s">
        <v>1034</v>
      </c>
      <c r="F50" s="63" t="s">
        <v>911</v>
      </c>
      <c r="G50" s="63" t="s">
        <v>427</v>
      </c>
      <c r="H50" s="65">
        <f>280000+30000+40000</f>
        <v>350000</v>
      </c>
      <c r="I50" s="66">
        <f t="shared" si="0"/>
        <v>0</v>
      </c>
      <c r="J50" s="65">
        <f>280000+30000+40000</f>
        <v>350000</v>
      </c>
    </row>
    <row r="51" spans="2:10" ht="21" x14ac:dyDescent="0.2">
      <c r="B51" s="74" t="s">
        <v>434</v>
      </c>
      <c r="C51" s="63" t="s">
        <v>458</v>
      </c>
      <c r="D51" s="63" t="s">
        <v>1031</v>
      </c>
      <c r="E51" s="63" t="s">
        <v>1034</v>
      </c>
      <c r="F51" s="63" t="s">
        <v>911</v>
      </c>
      <c r="G51" s="63" t="s">
        <v>423</v>
      </c>
      <c r="H51" s="65">
        <v>2950758</v>
      </c>
      <c r="I51" s="66">
        <f t="shared" si="0"/>
        <v>-133200</v>
      </c>
      <c r="J51" s="65">
        <v>2817558</v>
      </c>
    </row>
    <row r="52" spans="2:10" ht="21" x14ac:dyDescent="0.2">
      <c r="B52" s="74" t="s">
        <v>393</v>
      </c>
      <c r="C52" s="63" t="s">
        <v>458</v>
      </c>
      <c r="D52" s="63" t="s">
        <v>1031</v>
      </c>
      <c r="E52" s="63" t="s">
        <v>1034</v>
      </c>
      <c r="F52" s="63" t="s">
        <v>911</v>
      </c>
      <c r="G52" s="63" t="s">
        <v>330</v>
      </c>
      <c r="H52" s="65">
        <v>173000</v>
      </c>
      <c r="I52" s="66">
        <f t="shared" si="0"/>
        <v>0</v>
      </c>
      <c r="J52" s="65">
        <v>173000</v>
      </c>
    </row>
    <row r="53" spans="2:10" x14ac:dyDescent="0.2">
      <c r="B53" s="74" t="s">
        <v>954</v>
      </c>
      <c r="C53" s="63" t="s">
        <v>458</v>
      </c>
      <c r="D53" s="63" t="s">
        <v>1031</v>
      </c>
      <c r="E53" s="63" t="s">
        <v>1034</v>
      </c>
      <c r="F53" s="63" t="s">
        <v>911</v>
      </c>
      <c r="G53" s="63" t="s">
        <v>249</v>
      </c>
      <c r="H53" s="65">
        <v>39000</v>
      </c>
      <c r="I53" s="66">
        <f t="shared" si="0"/>
        <v>0</v>
      </c>
      <c r="J53" s="65">
        <v>39000</v>
      </c>
    </row>
    <row r="54" spans="2:10" ht="31.5" x14ac:dyDescent="0.2">
      <c r="B54" s="74" t="s">
        <v>621</v>
      </c>
      <c r="C54" s="63" t="s">
        <v>458</v>
      </c>
      <c r="D54" s="63" t="s">
        <v>1031</v>
      </c>
      <c r="E54" s="63" t="s">
        <v>1035</v>
      </c>
      <c r="F54" s="63"/>
      <c r="G54" s="63"/>
      <c r="H54" s="65">
        <f>H56+H57+H59</f>
        <v>623710</v>
      </c>
      <c r="I54" s="66">
        <f t="shared" si="0"/>
        <v>0</v>
      </c>
      <c r="J54" s="65">
        <f>J55</f>
        <v>623710</v>
      </c>
    </row>
    <row r="55" spans="2:10" ht="21" x14ac:dyDescent="0.2">
      <c r="B55" s="74" t="s">
        <v>777</v>
      </c>
      <c r="C55" s="63" t="s">
        <v>458</v>
      </c>
      <c r="D55" s="63" t="s">
        <v>1031</v>
      </c>
      <c r="E55" s="63" t="s">
        <v>1035</v>
      </c>
      <c r="F55" s="63" t="s">
        <v>912</v>
      </c>
      <c r="G55" s="63"/>
      <c r="H55" s="65">
        <f>H56+H57+H59+H58</f>
        <v>623710</v>
      </c>
      <c r="I55" s="66">
        <f t="shared" si="0"/>
        <v>0</v>
      </c>
      <c r="J55" s="65">
        <f>J56+J57+J59+J58</f>
        <v>623710</v>
      </c>
    </row>
    <row r="56" spans="2:10" x14ac:dyDescent="0.2">
      <c r="B56" s="74" t="s">
        <v>431</v>
      </c>
      <c r="C56" s="63" t="s">
        <v>458</v>
      </c>
      <c r="D56" s="63" t="s">
        <v>1031</v>
      </c>
      <c r="E56" s="63" t="s">
        <v>1035</v>
      </c>
      <c r="F56" s="63" t="s">
        <v>912</v>
      </c>
      <c r="G56" s="63" t="s">
        <v>424</v>
      </c>
      <c r="H56" s="65">
        <v>607910</v>
      </c>
      <c r="I56" s="66">
        <f t="shared" si="0"/>
        <v>0</v>
      </c>
      <c r="J56" s="65">
        <v>607910</v>
      </c>
    </row>
    <row r="57" spans="2:10" ht="21" x14ac:dyDescent="0.2">
      <c r="B57" s="74" t="s">
        <v>432</v>
      </c>
      <c r="C57" s="63" t="s">
        <v>458</v>
      </c>
      <c r="D57" s="63" t="s">
        <v>1031</v>
      </c>
      <c r="E57" s="63" t="s">
        <v>1035</v>
      </c>
      <c r="F57" s="63" t="s">
        <v>912</v>
      </c>
      <c r="G57" s="63" t="s">
        <v>425</v>
      </c>
      <c r="H57" s="65">
        <f>800+3000+4000</f>
        <v>7800</v>
      </c>
      <c r="I57" s="66">
        <f t="shared" si="0"/>
        <v>0</v>
      </c>
      <c r="J57" s="65">
        <f>800+3000+4000</f>
        <v>7800</v>
      </c>
    </row>
    <row r="58" spans="2:10" ht="21" x14ac:dyDescent="0.2">
      <c r="B58" s="74" t="s">
        <v>433</v>
      </c>
      <c r="C58" s="63" t="s">
        <v>458</v>
      </c>
      <c r="D58" s="63" t="s">
        <v>1031</v>
      </c>
      <c r="E58" s="63" t="s">
        <v>1035</v>
      </c>
      <c r="F58" s="63" t="s">
        <v>912</v>
      </c>
      <c r="G58" s="63" t="s">
        <v>427</v>
      </c>
      <c r="H58" s="65">
        <v>0</v>
      </c>
      <c r="I58" s="66">
        <f t="shared" si="0"/>
        <v>872</v>
      </c>
      <c r="J58" s="65">
        <v>872</v>
      </c>
    </row>
    <row r="59" spans="2:10" ht="21" x14ac:dyDescent="0.2">
      <c r="B59" s="74" t="s">
        <v>434</v>
      </c>
      <c r="C59" s="63" t="s">
        <v>458</v>
      </c>
      <c r="D59" s="63" t="s">
        <v>1031</v>
      </c>
      <c r="E59" s="63" t="s">
        <v>1035</v>
      </c>
      <c r="F59" s="63" t="s">
        <v>912</v>
      </c>
      <c r="G59" s="63" t="s">
        <v>423</v>
      </c>
      <c r="H59" s="65">
        <v>8000</v>
      </c>
      <c r="I59" s="66">
        <f t="shared" si="0"/>
        <v>-872</v>
      </c>
      <c r="J59" s="65">
        <v>7128</v>
      </c>
    </row>
    <row r="60" spans="2:10" hidden="1" x14ac:dyDescent="0.2">
      <c r="B60" s="74" t="s">
        <v>401</v>
      </c>
      <c r="C60" s="63" t="s">
        <v>458</v>
      </c>
      <c r="D60" s="63" t="s">
        <v>1031</v>
      </c>
      <c r="E60" s="63" t="s">
        <v>1036</v>
      </c>
      <c r="F60" s="63"/>
      <c r="G60" s="63"/>
      <c r="H60" s="65">
        <f>H61</f>
        <v>0</v>
      </c>
      <c r="I60" s="66">
        <f t="shared" si="0"/>
        <v>0</v>
      </c>
      <c r="J60" s="65">
        <f>J61</f>
        <v>0</v>
      </c>
    </row>
    <row r="61" spans="2:10" ht="21" hidden="1" x14ac:dyDescent="0.2">
      <c r="B61" s="74" t="s">
        <v>471</v>
      </c>
      <c r="C61" s="63" t="s">
        <v>458</v>
      </c>
      <c r="D61" s="63" t="s">
        <v>1031</v>
      </c>
      <c r="E61" s="63" t="s">
        <v>1036</v>
      </c>
      <c r="F61" s="63" t="s">
        <v>909</v>
      </c>
      <c r="G61" s="63"/>
      <c r="H61" s="65">
        <f>H62</f>
        <v>0</v>
      </c>
      <c r="I61" s="66">
        <f t="shared" si="0"/>
        <v>0</v>
      </c>
      <c r="J61" s="65">
        <f>J62</f>
        <v>0</v>
      </c>
    </row>
    <row r="62" spans="2:10" hidden="1" x14ac:dyDescent="0.2">
      <c r="B62" s="74" t="s">
        <v>396</v>
      </c>
      <c r="C62" s="63" t="s">
        <v>458</v>
      </c>
      <c r="D62" s="63" t="s">
        <v>1031</v>
      </c>
      <c r="E62" s="63" t="s">
        <v>1036</v>
      </c>
      <c r="F62" s="63" t="s">
        <v>909</v>
      </c>
      <c r="G62" s="63" t="s">
        <v>395</v>
      </c>
      <c r="H62" s="65">
        <v>0</v>
      </c>
      <c r="I62" s="66">
        <f t="shared" si="0"/>
        <v>0</v>
      </c>
      <c r="J62" s="65">
        <v>0</v>
      </c>
    </row>
    <row r="63" spans="2:10" x14ac:dyDescent="0.2">
      <c r="B63" s="74" t="s">
        <v>489</v>
      </c>
      <c r="C63" s="63" t="s">
        <v>458</v>
      </c>
      <c r="D63" s="63" t="s">
        <v>1031</v>
      </c>
      <c r="E63" s="63" t="s">
        <v>1037</v>
      </c>
      <c r="F63" s="63"/>
      <c r="G63" s="63"/>
      <c r="H63" s="65">
        <f>H66+H64</f>
        <v>1233719</v>
      </c>
      <c r="I63" s="66">
        <f t="shared" si="0"/>
        <v>-918922.03</v>
      </c>
      <c r="J63" s="65">
        <f>J66+J64</f>
        <v>314796.96999999997</v>
      </c>
    </row>
    <row r="64" spans="2:10" x14ac:dyDescent="0.2">
      <c r="B64" s="74" t="s">
        <v>686</v>
      </c>
      <c r="C64" s="63" t="s">
        <v>458</v>
      </c>
      <c r="D64" s="63" t="s">
        <v>1031</v>
      </c>
      <c r="E64" s="63" t="s">
        <v>1037</v>
      </c>
      <c r="F64" s="63" t="s">
        <v>1048</v>
      </c>
      <c r="G64" s="63"/>
      <c r="H64" s="65">
        <f>H65</f>
        <v>1233719</v>
      </c>
      <c r="I64" s="66">
        <f t="shared" si="0"/>
        <v>-918922.03</v>
      </c>
      <c r="J64" s="65">
        <f>J65</f>
        <v>314796.96999999997</v>
      </c>
    </row>
    <row r="65" spans="2:10" x14ac:dyDescent="0.2">
      <c r="B65" s="74" t="s">
        <v>435</v>
      </c>
      <c r="C65" s="63" t="s">
        <v>458</v>
      </c>
      <c r="D65" s="63" t="s">
        <v>1031</v>
      </c>
      <c r="E65" s="63" t="s">
        <v>1037</v>
      </c>
      <c r="F65" s="63" t="s">
        <v>1048</v>
      </c>
      <c r="G65" s="63" t="s">
        <v>426</v>
      </c>
      <c r="H65" s="65">
        <f>1380000-40000-30000-76281</f>
        <v>1233719</v>
      </c>
      <c r="I65" s="66">
        <f t="shared" si="0"/>
        <v>-918922.03</v>
      </c>
      <c r="J65" s="65">
        <v>314796.96999999997</v>
      </c>
    </row>
    <row r="66" spans="2:10" hidden="1" x14ac:dyDescent="0.2">
      <c r="B66" s="74" t="s">
        <v>686</v>
      </c>
      <c r="C66" s="63" t="s">
        <v>458</v>
      </c>
      <c r="D66" s="63" t="s">
        <v>1031</v>
      </c>
      <c r="E66" s="63" t="s">
        <v>1037</v>
      </c>
      <c r="F66" s="63" t="s">
        <v>913</v>
      </c>
      <c r="G66" s="63"/>
      <c r="H66" s="66">
        <f>H67</f>
        <v>0</v>
      </c>
      <c r="I66" s="66">
        <f t="shared" si="0"/>
        <v>0</v>
      </c>
      <c r="J66" s="66">
        <f>J67</f>
        <v>0</v>
      </c>
    </row>
    <row r="67" spans="2:10" hidden="1" x14ac:dyDescent="0.2">
      <c r="B67" s="74" t="s">
        <v>435</v>
      </c>
      <c r="C67" s="63" t="s">
        <v>458</v>
      </c>
      <c r="D67" s="63" t="s">
        <v>1031</v>
      </c>
      <c r="E67" s="63" t="s">
        <v>1037</v>
      </c>
      <c r="F67" s="63" t="s">
        <v>913</v>
      </c>
      <c r="G67" s="63" t="s">
        <v>426</v>
      </c>
      <c r="H67" s="66">
        <v>0</v>
      </c>
      <c r="I67" s="66">
        <f t="shared" si="0"/>
        <v>0</v>
      </c>
      <c r="J67" s="66">
        <v>0</v>
      </c>
    </row>
    <row r="68" spans="2:10" x14ac:dyDescent="0.2">
      <c r="B68" s="74" t="s">
        <v>497</v>
      </c>
      <c r="C68" s="63" t="s">
        <v>458</v>
      </c>
      <c r="D68" s="63" t="s">
        <v>1031</v>
      </c>
      <c r="E68" s="63" t="s">
        <v>1038</v>
      </c>
      <c r="F68" s="63"/>
      <c r="G68" s="63"/>
      <c r="H68" s="65">
        <f>H78+H85+H88+H90+H92+H94+H105+H124+H127+H120+H131+H74+H70+H108+H111+H115+H99+H122+H118</f>
        <v>5767187</v>
      </c>
      <c r="I68" s="66">
        <f t="shared" si="0"/>
        <v>243500</v>
      </c>
      <c r="J68" s="65">
        <f>J78+J85+J88+J90+J92+J94+J105+J124+J127+J120+J131+J74+J70+J108+J111+J115+J99+J122+J118</f>
        <v>6010687</v>
      </c>
    </row>
    <row r="69" spans="2:10" ht="76.5" customHeight="1" x14ac:dyDescent="0.2">
      <c r="B69" s="74" t="s">
        <v>999</v>
      </c>
      <c r="C69" s="63" t="s">
        <v>458</v>
      </c>
      <c r="D69" s="63" t="s">
        <v>1031</v>
      </c>
      <c r="E69" s="63" t="s">
        <v>1038</v>
      </c>
      <c r="F69" s="63" t="s">
        <v>773</v>
      </c>
      <c r="G69" s="63"/>
      <c r="H69" s="65">
        <f>H70</f>
        <v>50000</v>
      </c>
      <c r="I69" s="66">
        <f t="shared" si="0"/>
        <v>0</v>
      </c>
      <c r="J69" s="65">
        <f>J70</f>
        <v>50000</v>
      </c>
    </row>
    <row r="70" spans="2:10" ht="78" customHeight="1" x14ac:dyDescent="0.2">
      <c r="B70" s="74" t="s">
        <v>1061</v>
      </c>
      <c r="C70" s="63" t="s">
        <v>458</v>
      </c>
      <c r="D70" s="63" t="s">
        <v>1031</v>
      </c>
      <c r="E70" s="63" t="s">
        <v>1038</v>
      </c>
      <c r="F70" s="63" t="s">
        <v>1136</v>
      </c>
      <c r="G70" s="63"/>
      <c r="H70" s="65">
        <f>H71+H72</f>
        <v>50000</v>
      </c>
      <c r="I70" s="66">
        <f t="shared" si="0"/>
        <v>0</v>
      </c>
      <c r="J70" s="65">
        <f>J71+J72</f>
        <v>50000</v>
      </c>
    </row>
    <row r="71" spans="2:10" ht="21" x14ac:dyDescent="0.2">
      <c r="B71" s="74" t="s">
        <v>433</v>
      </c>
      <c r="C71" s="63" t="s">
        <v>458</v>
      </c>
      <c r="D71" s="63" t="s">
        <v>1031</v>
      </c>
      <c r="E71" s="63" t="s">
        <v>1038</v>
      </c>
      <c r="F71" s="63" t="s">
        <v>1136</v>
      </c>
      <c r="G71" s="63" t="s">
        <v>427</v>
      </c>
      <c r="H71" s="65">
        <v>50000</v>
      </c>
      <c r="I71" s="66">
        <f t="shared" si="0"/>
        <v>0</v>
      </c>
      <c r="J71" s="65">
        <v>50000</v>
      </c>
    </row>
    <row r="72" spans="2:10" ht="21" hidden="1" x14ac:dyDescent="0.2">
      <c r="B72" s="74" t="s">
        <v>434</v>
      </c>
      <c r="C72" s="63" t="s">
        <v>458</v>
      </c>
      <c r="D72" s="63" t="s">
        <v>1031</v>
      </c>
      <c r="E72" s="63" t="s">
        <v>1038</v>
      </c>
      <c r="F72" s="63" t="s">
        <v>1136</v>
      </c>
      <c r="G72" s="63" t="s">
        <v>423</v>
      </c>
      <c r="H72" s="65">
        <v>0</v>
      </c>
      <c r="I72" s="66">
        <f t="shared" si="0"/>
        <v>0</v>
      </c>
      <c r="J72" s="65">
        <v>0</v>
      </c>
    </row>
    <row r="73" spans="2:10" ht="63" x14ac:dyDescent="0.2">
      <c r="B73" s="74" t="s">
        <v>1001</v>
      </c>
      <c r="C73" s="63" t="s">
        <v>458</v>
      </c>
      <c r="D73" s="63" t="s">
        <v>1031</v>
      </c>
      <c r="E73" s="63" t="s">
        <v>1038</v>
      </c>
      <c r="F73" s="63" t="s">
        <v>778</v>
      </c>
      <c r="G73" s="63"/>
      <c r="H73" s="65">
        <f>H74</f>
        <v>245000</v>
      </c>
      <c r="I73" s="66">
        <f t="shared" si="0"/>
        <v>0</v>
      </c>
      <c r="J73" s="65">
        <f>J74</f>
        <v>245000</v>
      </c>
    </row>
    <row r="74" spans="2:10" ht="73.5" x14ac:dyDescent="0.2">
      <c r="B74" s="74" t="s">
        <v>1062</v>
      </c>
      <c r="C74" s="63" t="s">
        <v>458</v>
      </c>
      <c r="D74" s="63" t="s">
        <v>1031</v>
      </c>
      <c r="E74" s="63" t="s">
        <v>1038</v>
      </c>
      <c r="F74" s="63" t="s">
        <v>780</v>
      </c>
      <c r="G74" s="63"/>
      <c r="H74" s="65">
        <f>H75+H76</f>
        <v>245000</v>
      </c>
      <c r="I74" s="66">
        <f t="shared" si="0"/>
        <v>0</v>
      </c>
      <c r="J74" s="65">
        <f>J75+J76</f>
        <v>245000</v>
      </c>
    </row>
    <row r="75" spans="2:10" ht="21" x14ac:dyDescent="0.2">
      <c r="B75" s="74" t="s">
        <v>433</v>
      </c>
      <c r="C75" s="63" t="s">
        <v>458</v>
      </c>
      <c r="D75" s="63" t="s">
        <v>1031</v>
      </c>
      <c r="E75" s="63" t="s">
        <v>1038</v>
      </c>
      <c r="F75" s="63" t="s">
        <v>780</v>
      </c>
      <c r="G75" s="63" t="s">
        <v>427</v>
      </c>
      <c r="H75" s="65">
        <v>5000</v>
      </c>
      <c r="I75" s="66">
        <f t="shared" si="0"/>
        <v>0</v>
      </c>
      <c r="J75" s="65">
        <v>5000</v>
      </c>
    </row>
    <row r="76" spans="2:10" ht="21" x14ac:dyDescent="0.2">
      <c r="B76" s="74" t="s">
        <v>434</v>
      </c>
      <c r="C76" s="63" t="s">
        <v>458</v>
      </c>
      <c r="D76" s="63" t="s">
        <v>1031</v>
      </c>
      <c r="E76" s="63" t="s">
        <v>1038</v>
      </c>
      <c r="F76" s="63" t="s">
        <v>780</v>
      </c>
      <c r="G76" s="63" t="s">
        <v>423</v>
      </c>
      <c r="H76" s="65">
        <v>240000</v>
      </c>
      <c r="I76" s="66">
        <f t="shared" si="0"/>
        <v>0</v>
      </c>
      <c r="J76" s="65">
        <v>240000</v>
      </c>
    </row>
    <row r="77" spans="2:10" ht="63" x14ac:dyDescent="0.2">
      <c r="B77" s="74" t="s">
        <v>972</v>
      </c>
      <c r="C77" s="63" t="s">
        <v>458</v>
      </c>
      <c r="D77" s="63" t="s">
        <v>1031</v>
      </c>
      <c r="E77" s="63" t="s">
        <v>1038</v>
      </c>
      <c r="F77" s="63" t="s">
        <v>782</v>
      </c>
      <c r="G77" s="63"/>
      <c r="H77" s="66">
        <f>H78</f>
        <v>2075200</v>
      </c>
      <c r="I77" s="66">
        <f t="shared" si="0"/>
        <v>0</v>
      </c>
      <c r="J77" s="66">
        <f>J78</f>
        <v>2075200</v>
      </c>
    </row>
    <row r="78" spans="2:10" ht="52.5" x14ac:dyDescent="0.2">
      <c r="B78" s="74" t="s">
        <v>1139</v>
      </c>
      <c r="C78" s="63" t="s">
        <v>458</v>
      </c>
      <c r="D78" s="63" t="s">
        <v>1031</v>
      </c>
      <c r="E78" s="63" t="s">
        <v>1038</v>
      </c>
      <c r="F78" s="63" t="s">
        <v>784</v>
      </c>
      <c r="G78" s="63"/>
      <c r="H78" s="65">
        <f>H79+H80+H81+H82+H83+H84</f>
        <v>2075200</v>
      </c>
      <c r="I78" s="66">
        <f t="shared" si="0"/>
        <v>0</v>
      </c>
      <c r="J78" s="65">
        <f>J79+J80+J81+J82+J83+J84</f>
        <v>2075200</v>
      </c>
    </row>
    <row r="79" spans="2:10" x14ac:dyDescent="0.2">
      <c r="B79" s="74" t="s">
        <v>431</v>
      </c>
      <c r="C79" s="63" t="s">
        <v>458</v>
      </c>
      <c r="D79" s="63" t="s">
        <v>1031</v>
      </c>
      <c r="E79" s="63" t="s">
        <v>1038</v>
      </c>
      <c r="F79" s="63" t="s">
        <v>784</v>
      </c>
      <c r="G79" s="63" t="s">
        <v>441</v>
      </c>
      <c r="H79" s="65">
        <f>1235000+372900</f>
        <v>1607900</v>
      </c>
      <c r="I79" s="66">
        <f t="shared" si="0"/>
        <v>0</v>
      </c>
      <c r="J79" s="65">
        <f>1235000+372900</f>
        <v>1607900</v>
      </c>
    </row>
    <row r="80" spans="2:10" ht="21" x14ac:dyDescent="0.2">
      <c r="B80" s="74" t="s">
        <v>432</v>
      </c>
      <c r="C80" s="63" t="s">
        <v>458</v>
      </c>
      <c r="D80" s="63" t="s">
        <v>1031</v>
      </c>
      <c r="E80" s="63" t="s">
        <v>1038</v>
      </c>
      <c r="F80" s="63" t="s">
        <v>784</v>
      </c>
      <c r="G80" s="63" t="s">
        <v>442</v>
      </c>
      <c r="H80" s="65">
        <f>8000+1400+28900</f>
        <v>38300</v>
      </c>
      <c r="I80" s="66">
        <f t="shared" si="0"/>
        <v>0</v>
      </c>
      <c r="J80" s="65">
        <f>8000+1400+28900</f>
        <v>38300</v>
      </c>
    </row>
    <row r="81" spans="2:10" ht="21" x14ac:dyDescent="0.2">
      <c r="B81" s="74" t="s">
        <v>433</v>
      </c>
      <c r="C81" s="63" t="s">
        <v>458</v>
      </c>
      <c r="D81" s="63" t="s">
        <v>1031</v>
      </c>
      <c r="E81" s="63" t="s">
        <v>1038</v>
      </c>
      <c r="F81" s="63" t="s">
        <v>784</v>
      </c>
      <c r="G81" s="63" t="s">
        <v>427</v>
      </c>
      <c r="H81" s="65">
        <f>48000+5000+50000+5000</f>
        <v>108000</v>
      </c>
      <c r="I81" s="66">
        <f t="shared" si="0"/>
        <v>0</v>
      </c>
      <c r="J81" s="65">
        <f>48000+5000+50000+5000</f>
        <v>108000</v>
      </c>
    </row>
    <row r="82" spans="2:10" ht="21" x14ac:dyDescent="0.2">
      <c r="B82" s="74" t="s">
        <v>434</v>
      </c>
      <c r="C82" s="63" t="s">
        <v>458</v>
      </c>
      <c r="D82" s="63" t="s">
        <v>1031</v>
      </c>
      <c r="E82" s="63" t="s">
        <v>1038</v>
      </c>
      <c r="F82" s="63" t="s">
        <v>784</v>
      </c>
      <c r="G82" s="63" t="s">
        <v>423</v>
      </c>
      <c r="H82" s="65">
        <f>1000+35000+5000+74000+2000+60000+140000</f>
        <v>317000</v>
      </c>
      <c r="I82" s="66">
        <f t="shared" ref="I82:I149" si="2">J82-H82</f>
        <v>0</v>
      </c>
      <c r="J82" s="65">
        <f>1000+35000+5000+74000+2000+60000+140000</f>
        <v>317000</v>
      </c>
    </row>
    <row r="83" spans="2:10" ht="21" x14ac:dyDescent="0.2">
      <c r="B83" s="74" t="s">
        <v>393</v>
      </c>
      <c r="C83" s="63" t="s">
        <v>458</v>
      </c>
      <c r="D83" s="63" t="s">
        <v>1031</v>
      </c>
      <c r="E83" s="63" t="s">
        <v>1038</v>
      </c>
      <c r="F83" s="63" t="s">
        <v>784</v>
      </c>
      <c r="G83" s="63" t="s">
        <v>330</v>
      </c>
      <c r="H83" s="65">
        <v>1600</v>
      </c>
      <c r="I83" s="66">
        <f t="shared" si="2"/>
        <v>0</v>
      </c>
      <c r="J83" s="65">
        <v>1600</v>
      </c>
    </row>
    <row r="84" spans="2:10" x14ac:dyDescent="0.2">
      <c r="B84" s="74" t="s">
        <v>954</v>
      </c>
      <c r="C84" s="63" t="s">
        <v>458</v>
      </c>
      <c r="D84" s="63" t="s">
        <v>1031</v>
      </c>
      <c r="E84" s="63" t="s">
        <v>1038</v>
      </c>
      <c r="F84" s="63" t="s">
        <v>784</v>
      </c>
      <c r="G84" s="63" t="s">
        <v>249</v>
      </c>
      <c r="H84" s="65">
        <v>2400</v>
      </c>
      <c r="I84" s="66">
        <f t="shared" si="2"/>
        <v>0</v>
      </c>
      <c r="J84" s="65">
        <v>2400</v>
      </c>
    </row>
    <row r="85" spans="2:10" ht="63" x14ac:dyDescent="0.2">
      <c r="B85" s="74" t="s">
        <v>1011</v>
      </c>
      <c r="C85" s="63" t="s">
        <v>458</v>
      </c>
      <c r="D85" s="63" t="s">
        <v>1031</v>
      </c>
      <c r="E85" s="63" t="s">
        <v>1038</v>
      </c>
      <c r="F85" s="63" t="s">
        <v>786</v>
      </c>
      <c r="G85" s="63"/>
      <c r="H85" s="65">
        <f>H86</f>
        <v>389037</v>
      </c>
      <c r="I85" s="66">
        <f t="shared" si="2"/>
        <v>0</v>
      </c>
      <c r="J85" s="65">
        <f>J86</f>
        <v>389037</v>
      </c>
    </row>
    <row r="86" spans="2:10" ht="21" x14ac:dyDescent="0.2">
      <c r="B86" s="74" t="s">
        <v>434</v>
      </c>
      <c r="C86" s="63" t="s">
        <v>458</v>
      </c>
      <c r="D86" s="63" t="s">
        <v>1031</v>
      </c>
      <c r="E86" s="63" t="s">
        <v>1038</v>
      </c>
      <c r="F86" s="63" t="s">
        <v>786</v>
      </c>
      <c r="G86" s="63" t="s">
        <v>423</v>
      </c>
      <c r="H86" s="65">
        <v>389037</v>
      </c>
      <c r="I86" s="66">
        <f t="shared" si="2"/>
        <v>0</v>
      </c>
      <c r="J86" s="65">
        <v>389037</v>
      </c>
    </row>
    <row r="87" spans="2:10" ht="52.5" x14ac:dyDescent="0.2">
      <c r="B87" s="74" t="s">
        <v>1063</v>
      </c>
      <c r="C87" s="63" t="s">
        <v>458</v>
      </c>
      <c r="D87" s="63" t="s">
        <v>1031</v>
      </c>
      <c r="E87" s="63" t="s">
        <v>1038</v>
      </c>
      <c r="F87" s="63" t="s">
        <v>788</v>
      </c>
      <c r="G87" s="63"/>
      <c r="H87" s="65">
        <f>H88+H90+H92</f>
        <v>205000</v>
      </c>
      <c r="I87" s="66">
        <f t="shared" si="2"/>
        <v>0</v>
      </c>
      <c r="J87" s="65">
        <f>J88+J90+J92</f>
        <v>205000</v>
      </c>
    </row>
    <row r="88" spans="2:10" ht="75" customHeight="1" x14ac:dyDescent="0.2">
      <c r="B88" s="74" t="s">
        <v>1012</v>
      </c>
      <c r="C88" s="63" t="s">
        <v>458</v>
      </c>
      <c r="D88" s="63" t="s">
        <v>1031</v>
      </c>
      <c r="E88" s="63" t="s">
        <v>1038</v>
      </c>
      <c r="F88" s="63" t="s">
        <v>721</v>
      </c>
      <c r="G88" s="63"/>
      <c r="H88" s="65">
        <f>H89</f>
        <v>97000</v>
      </c>
      <c r="I88" s="66">
        <f t="shared" si="2"/>
        <v>0</v>
      </c>
      <c r="J88" s="65">
        <f>J89</f>
        <v>97000</v>
      </c>
    </row>
    <row r="89" spans="2:10" ht="21" x14ac:dyDescent="0.2">
      <c r="B89" s="74" t="s">
        <v>434</v>
      </c>
      <c r="C89" s="63" t="s">
        <v>458</v>
      </c>
      <c r="D89" s="63" t="s">
        <v>1031</v>
      </c>
      <c r="E89" s="63" t="s">
        <v>1038</v>
      </c>
      <c r="F89" s="63" t="s">
        <v>721</v>
      </c>
      <c r="G89" s="63" t="s">
        <v>423</v>
      </c>
      <c r="H89" s="65">
        <f>77000+20000</f>
        <v>97000</v>
      </c>
      <c r="I89" s="66">
        <f t="shared" si="2"/>
        <v>0</v>
      </c>
      <c r="J89" s="65">
        <f>77000+20000</f>
        <v>97000</v>
      </c>
    </row>
    <row r="90" spans="2:10" ht="57.75" customHeight="1" x14ac:dyDescent="0.2">
      <c r="B90" s="74" t="s">
        <v>1113</v>
      </c>
      <c r="C90" s="63" t="s">
        <v>458</v>
      </c>
      <c r="D90" s="63" t="s">
        <v>1031</v>
      </c>
      <c r="E90" s="63" t="s">
        <v>1038</v>
      </c>
      <c r="F90" s="63" t="s">
        <v>723</v>
      </c>
      <c r="G90" s="63"/>
      <c r="H90" s="65">
        <f>H91</f>
        <v>90000</v>
      </c>
      <c r="I90" s="66">
        <f t="shared" si="2"/>
        <v>0</v>
      </c>
      <c r="J90" s="65">
        <f>J91</f>
        <v>90000</v>
      </c>
    </row>
    <row r="91" spans="2:10" ht="21" x14ac:dyDescent="0.2">
      <c r="B91" s="74" t="s">
        <v>434</v>
      </c>
      <c r="C91" s="63" t="s">
        <v>458</v>
      </c>
      <c r="D91" s="63" t="s">
        <v>1031</v>
      </c>
      <c r="E91" s="63" t="s">
        <v>1038</v>
      </c>
      <c r="F91" s="63" t="s">
        <v>723</v>
      </c>
      <c r="G91" s="63" t="s">
        <v>423</v>
      </c>
      <c r="H91" s="65">
        <f>40000+30000+20000</f>
        <v>90000</v>
      </c>
      <c r="I91" s="66">
        <f t="shared" si="2"/>
        <v>0</v>
      </c>
      <c r="J91" s="65">
        <f>40000+30000+20000</f>
        <v>90000</v>
      </c>
    </row>
    <row r="92" spans="2:10" ht="52.5" x14ac:dyDescent="0.2">
      <c r="B92" s="74" t="s">
        <v>1064</v>
      </c>
      <c r="C92" s="63" t="s">
        <v>458</v>
      </c>
      <c r="D92" s="63" t="s">
        <v>1031</v>
      </c>
      <c r="E92" s="63" t="s">
        <v>1038</v>
      </c>
      <c r="F92" s="63" t="s">
        <v>790</v>
      </c>
      <c r="G92" s="63"/>
      <c r="H92" s="65">
        <f>H93</f>
        <v>18000</v>
      </c>
      <c r="I92" s="66">
        <f t="shared" si="2"/>
        <v>0</v>
      </c>
      <c r="J92" s="65">
        <f>J93</f>
        <v>18000</v>
      </c>
    </row>
    <row r="93" spans="2:10" ht="21" x14ac:dyDescent="0.2">
      <c r="B93" s="74" t="s">
        <v>434</v>
      </c>
      <c r="C93" s="63" t="s">
        <v>458</v>
      </c>
      <c r="D93" s="63" t="s">
        <v>1031</v>
      </c>
      <c r="E93" s="63" t="s">
        <v>1038</v>
      </c>
      <c r="F93" s="63" t="s">
        <v>790</v>
      </c>
      <c r="G93" s="63" t="s">
        <v>423</v>
      </c>
      <c r="H93" s="65">
        <f>9000+9000</f>
        <v>18000</v>
      </c>
      <c r="I93" s="66">
        <f t="shared" si="2"/>
        <v>0</v>
      </c>
      <c r="J93" s="65">
        <f>9000+9000</f>
        <v>18000</v>
      </c>
    </row>
    <row r="94" spans="2:10" ht="42" hidden="1" x14ac:dyDescent="0.2">
      <c r="B94" s="107" t="s">
        <v>1140</v>
      </c>
      <c r="C94" s="63" t="s">
        <v>458</v>
      </c>
      <c r="D94" s="63" t="s">
        <v>1031</v>
      </c>
      <c r="E94" s="63" t="s">
        <v>1038</v>
      </c>
      <c r="F94" s="63" t="s">
        <v>898</v>
      </c>
      <c r="G94" s="63"/>
      <c r="H94" s="66">
        <f>H95+H96+H97+H98</f>
        <v>0</v>
      </c>
      <c r="I94" s="66">
        <f t="shared" si="2"/>
        <v>0</v>
      </c>
      <c r="J94" s="66">
        <f>J95+J96+J97+J98</f>
        <v>0</v>
      </c>
    </row>
    <row r="95" spans="2:10" hidden="1" x14ac:dyDescent="0.2">
      <c r="B95" s="74" t="s">
        <v>431</v>
      </c>
      <c r="C95" s="63" t="s">
        <v>458</v>
      </c>
      <c r="D95" s="63" t="s">
        <v>1031</v>
      </c>
      <c r="E95" s="63" t="s">
        <v>1038</v>
      </c>
      <c r="F95" s="63" t="s">
        <v>898</v>
      </c>
      <c r="G95" s="63" t="s">
        <v>424</v>
      </c>
      <c r="H95" s="66">
        <v>0</v>
      </c>
      <c r="I95" s="66">
        <f t="shared" si="2"/>
        <v>0</v>
      </c>
      <c r="J95" s="66">
        <v>0</v>
      </c>
    </row>
    <row r="96" spans="2:10" ht="21" hidden="1" x14ac:dyDescent="0.2">
      <c r="B96" s="74" t="s">
        <v>432</v>
      </c>
      <c r="C96" s="63" t="s">
        <v>458</v>
      </c>
      <c r="D96" s="63" t="s">
        <v>1031</v>
      </c>
      <c r="E96" s="63" t="s">
        <v>1038</v>
      </c>
      <c r="F96" s="63" t="s">
        <v>898</v>
      </c>
      <c r="G96" s="63" t="s">
        <v>425</v>
      </c>
      <c r="H96" s="66">
        <v>0</v>
      </c>
      <c r="I96" s="66">
        <f t="shared" si="2"/>
        <v>0</v>
      </c>
      <c r="J96" s="66">
        <v>0</v>
      </c>
    </row>
    <row r="97" spans="2:10" ht="21" hidden="1" x14ac:dyDescent="0.2">
      <c r="B97" s="74" t="s">
        <v>433</v>
      </c>
      <c r="C97" s="63" t="s">
        <v>458</v>
      </c>
      <c r="D97" s="63" t="s">
        <v>1031</v>
      </c>
      <c r="E97" s="63" t="s">
        <v>1038</v>
      </c>
      <c r="F97" s="63" t="s">
        <v>898</v>
      </c>
      <c r="G97" s="63" t="s">
        <v>427</v>
      </c>
      <c r="H97" s="66">
        <v>0</v>
      </c>
      <c r="I97" s="66">
        <f t="shared" si="2"/>
        <v>0</v>
      </c>
      <c r="J97" s="66">
        <v>0</v>
      </c>
    </row>
    <row r="98" spans="2:10" ht="21" hidden="1" x14ac:dyDescent="0.2">
      <c r="B98" s="74" t="s">
        <v>434</v>
      </c>
      <c r="C98" s="63" t="s">
        <v>458</v>
      </c>
      <c r="D98" s="63" t="s">
        <v>1031</v>
      </c>
      <c r="E98" s="63" t="s">
        <v>1038</v>
      </c>
      <c r="F98" s="63" t="s">
        <v>898</v>
      </c>
      <c r="G98" s="63" t="s">
        <v>423</v>
      </c>
      <c r="H98" s="66">
        <v>0</v>
      </c>
      <c r="I98" s="66">
        <f t="shared" si="2"/>
        <v>0</v>
      </c>
      <c r="J98" s="66">
        <v>0</v>
      </c>
    </row>
    <row r="99" spans="2:10" ht="42" x14ac:dyDescent="0.2">
      <c r="B99" s="107" t="s">
        <v>1165</v>
      </c>
      <c r="C99" s="63" t="s">
        <v>458</v>
      </c>
      <c r="D99" s="63" t="s">
        <v>1031</v>
      </c>
      <c r="E99" s="63" t="s">
        <v>1038</v>
      </c>
      <c r="F99" s="63" t="s">
        <v>1049</v>
      </c>
      <c r="G99" s="63"/>
      <c r="H99" s="66">
        <f>H100+H101+H102+H103</f>
        <v>698200</v>
      </c>
      <c r="I99" s="66">
        <f t="shared" si="2"/>
        <v>0</v>
      </c>
      <c r="J99" s="66">
        <f>J100+J101+J102+J103</f>
        <v>698200</v>
      </c>
    </row>
    <row r="100" spans="2:10" x14ac:dyDescent="0.2">
      <c r="B100" s="74" t="s">
        <v>431</v>
      </c>
      <c r="C100" s="63" t="s">
        <v>458</v>
      </c>
      <c r="D100" s="63" t="s">
        <v>1031</v>
      </c>
      <c r="E100" s="63" t="s">
        <v>1038</v>
      </c>
      <c r="F100" s="63" t="s">
        <v>1049</v>
      </c>
      <c r="G100" s="63" t="s">
        <v>424</v>
      </c>
      <c r="H100" s="66">
        <f>308400+91600</f>
        <v>400000</v>
      </c>
      <c r="I100" s="66">
        <f t="shared" si="2"/>
        <v>0</v>
      </c>
      <c r="J100" s="66">
        <f>308400+91600</f>
        <v>400000</v>
      </c>
    </row>
    <row r="101" spans="2:10" ht="21" x14ac:dyDescent="0.2">
      <c r="B101" s="74" t="s">
        <v>432</v>
      </c>
      <c r="C101" s="63" t="s">
        <v>458</v>
      </c>
      <c r="D101" s="63" t="s">
        <v>1031</v>
      </c>
      <c r="E101" s="63" t="s">
        <v>1038</v>
      </c>
      <c r="F101" s="63" t="s">
        <v>1049</v>
      </c>
      <c r="G101" s="63" t="s">
        <v>425</v>
      </c>
      <c r="H101" s="66">
        <f>10000+25000+15000</f>
        <v>50000</v>
      </c>
      <c r="I101" s="66">
        <f t="shared" si="2"/>
        <v>-832</v>
      </c>
      <c r="J101" s="66">
        <v>49168</v>
      </c>
    </row>
    <row r="102" spans="2:10" ht="21" x14ac:dyDescent="0.2">
      <c r="B102" s="74" t="s">
        <v>433</v>
      </c>
      <c r="C102" s="63" t="s">
        <v>458</v>
      </c>
      <c r="D102" s="63" t="s">
        <v>1031</v>
      </c>
      <c r="E102" s="63" t="s">
        <v>1038</v>
      </c>
      <c r="F102" s="63" t="s">
        <v>1049</v>
      </c>
      <c r="G102" s="63" t="s">
        <v>427</v>
      </c>
      <c r="H102" s="66">
        <f>9200+1500+6110+25000</f>
        <v>41810</v>
      </c>
      <c r="I102" s="66">
        <f t="shared" si="2"/>
        <v>452</v>
      </c>
      <c r="J102" s="66">
        <v>42262</v>
      </c>
    </row>
    <row r="103" spans="2:10" ht="21" x14ac:dyDescent="0.2">
      <c r="B103" s="74" t="s">
        <v>434</v>
      </c>
      <c r="C103" s="63" t="s">
        <v>458</v>
      </c>
      <c r="D103" s="63" t="s">
        <v>1031</v>
      </c>
      <c r="E103" s="63" t="s">
        <v>1038</v>
      </c>
      <c r="F103" s="63" t="s">
        <v>1049</v>
      </c>
      <c r="G103" s="63" t="s">
        <v>423</v>
      </c>
      <c r="H103" s="66">
        <f>23500+88890+10000+84000</f>
        <v>206390</v>
      </c>
      <c r="I103" s="66">
        <f t="shared" si="2"/>
        <v>380</v>
      </c>
      <c r="J103" s="66">
        <v>206770</v>
      </c>
    </row>
    <row r="104" spans="2:10" ht="63" x14ac:dyDescent="0.2">
      <c r="B104" s="74" t="s">
        <v>1014</v>
      </c>
      <c r="C104" s="63" t="s">
        <v>458</v>
      </c>
      <c r="D104" s="63" t="s">
        <v>1031</v>
      </c>
      <c r="E104" s="63" t="s">
        <v>1038</v>
      </c>
      <c r="F104" s="63" t="s">
        <v>944</v>
      </c>
      <c r="G104" s="63"/>
      <c r="H104" s="66">
        <f>H105+H108</f>
        <v>549450</v>
      </c>
      <c r="I104" s="66">
        <f t="shared" si="2"/>
        <v>100000</v>
      </c>
      <c r="J104" s="66">
        <f>J105+J108</f>
        <v>649450</v>
      </c>
    </row>
    <row r="105" spans="2:10" ht="57" customHeight="1" x14ac:dyDescent="0.2">
      <c r="B105" s="74" t="s">
        <v>1065</v>
      </c>
      <c r="C105" s="63" t="s">
        <v>458</v>
      </c>
      <c r="D105" s="63" t="s">
        <v>1031</v>
      </c>
      <c r="E105" s="63" t="s">
        <v>1038</v>
      </c>
      <c r="F105" s="63" t="s">
        <v>945</v>
      </c>
      <c r="G105" s="63"/>
      <c r="H105" s="65">
        <f>H106+H107</f>
        <v>369450</v>
      </c>
      <c r="I105" s="66">
        <f t="shared" si="2"/>
        <v>100000</v>
      </c>
      <c r="J105" s="65">
        <f>J106+J107</f>
        <v>469450</v>
      </c>
    </row>
    <row r="106" spans="2:10" ht="21" x14ac:dyDescent="0.2">
      <c r="B106" s="74" t="s">
        <v>433</v>
      </c>
      <c r="C106" s="63" t="s">
        <v>458</v>
      </c>
      <c r="D106" s="63" t="s">
        <v>1031</v>
      </c>
      <c r="E106" s="63" t="s">
        <v>1038</v>
      </c>
      <c r="F106" s="63" t="s">
        <v>945</v>
      </c>
      <c r="G106" s="63" t="s">
        <v>427</v>
      </c>
      <c r="H106" s="65">
        <v>316650</v>
      </c>
      <c r="I106" s="66">
        <f t="shared" si="2"/>
        <v>100000</v>
      </c>
      <c r="J106" s="65">
        <v>416650</v>
      </c>
    </row>
    <row r="107" spans="2:10" ht="21" x14ac:dyDescent="0.2">
      <c r="B107" s="74" t="s">
        <v>434</v>
      </c>
      <c r="C107" s="63" t="s">
        <v>458</v>
      </c>
      <c r="D107" s="63" t="s">
        <v>1031</v>
      </c>
      <c r="E107" s="63" t="s">
        <v>1038</v>
      </c>
      <c r="F107" s="63" t="s">
        <v>945</v>
      </c>
      <c r="G107" s="63" t="s">
        <v>423</v>
      </c>
      <c r="H107" s="65">
        <v>52800</v>
      </c>
      <c r="I107" s="66">
        <f t="shared" si="2"/>
        <v>0</v>
      </c>
      <c r="J107" s="65">
        <v>52800</v>
      </c>
    </row>
    <row r="108" spans="2:10" ht="55.5" customHeight="1" x14ac:dyDescent="0.2">
      <c r="B108" s="74" t="s">
        <v>1066</v>
      </c>
      <c r="C108" s="63" t="s">
        <v>458</v>
      </c>
      <c r="D108" s="63" t="s">
        <v>1031</v>
      </c>
      <c r="E108" s="63" t="s">
        <v>1038</v>
      </c>
      <c r="F108" s="63" t="s">
        <v>1067</v>
      </c>
      <c r="G108" s="63"/>
      <c r="H108" s="65">
        <f>H109</f>
        <v>180000</v>
      </c>
      <c r="I108" s="66">
        <f t="shared" si="2"/>
        <v>0</v>
      </c>
      <c r="J108" s="65">
        <f>J109</f>
        <v>180000</v>
      </c>
    </row>
    <row r="109" spans="2:10" x14ac:dyDescent="0.2">
      <c r="B109" s="74" t="s">
        <v>953</v>
      </c>
      <c r="C109" s="63" t="s">
        <v>458</v>
      </c>
      <c r="D109" s="63" t="s">
        <v>1031</v>
      </c>
      <c r="E109" s="63" t="s">
        <v>1038</v>
      </c>
      <c r="F109" s="63" t="s">
        <v>1067</v>
      </c>
      <c r="G109" s="63" t="s">
        <v>952</v>
      </c>
      <c r="H109" s="65">
        <v>180000</v>
      </c>
      <c r="I109" s="66">
        <f t="shared" si="2"/>
        <v>0</v>
      </c>
      <c r="J109" s="65">
        <v>180000</v>
      </c>
    </row>
    <row r="110" spans="2:10" ht="65.25" customHeight="1" x14ac:dyDescent="0.2">
      <c r="B110" s="74" t="s">
        <v>1020</v>
      </c>
      <c r="C110" s="63" t="s">
        <v>458</v>
      </c>
      <c r="D110" s="63" t="s">
        <v>1031</v>
      </c>
      <c r="E110" s="63" t="s">
        <v>1038</v>
      </c>
      <c r="F110" s="63" t="s">
        <v>955</v>
      </c>
      <c r="G110" s="63"/>
      <c r="H110" s="66">
        <f>H111</f>
        <v>210000</v>
      </c>
      <c r="I110" s="66">
        <f t="shared" si="2"/>
        <v>147000</v>
      </c>
      <c r="J110" s="66">
        <f>J111</f>
        <v>357000</v>
      </c>
    </row>
    <row r="111" spans="2:10" ht="63" x14ac:dyDescent="0.2">
      <c r="B111" s="74" t="s">
        <v>1130</v>
      </c>
      <c r="C111" s="63" t="s">
        <v>458</v>
      </c>
      <c r="D111" s="63" t="s">
        <v>1031</v>
      </c>
      <c r="E111" s="63" t="s">
        <v>1038</v>
      </c>
      <c r="F111" s="63" t="s">
        <v>1129</v>
      </c>
      <c r="G111" s="63"/>
      <c r="H111" s="65">
        <f>H112+H113+H114</f>
        <v>210000</v>
      </c>
      <c r="I111" s="66">
        <f t="shared" si="2"/>
        <v>147000</v>
      </c>
      <c r="J111" s="65">
        <f>J112+J113+J114</f>
        <v>357000</v>
      </c>
    </row>
    <row r="112" spans="2:10" ht="21" x14ac:dyDescent="0.2">
      <c r="B112" s="74" t="s">
        <v>433</v>
      </c>
      <c r="C112" s="63" t="s">
        <v>458</v>
      </c>
      <c r="D112" s="63" t="s">
        <v>1031</v>
      </c>
      <c r="E112" s="63" t="s">
        <v>1038</v>
      </c>
      <c r="F112" s="63" t="s">
        <v>1129</v>
      </c>
      <c r="G112" s="63" t="s">
        <v>427</v>
      </c>
      <c r="H112" s="65">
        <v>10000</v>
      </c>
      <c r="I112" s="66">
        <f t="shared" si="2"/>
        <v>0</v>
      </c>
      <c r="J112" s="65">
        <v>10000</v>
      </c>
    </row>
    <row r="113" spans="2:10" ht="21" x14ac:dyDescent="0.2">
      <c r="B113" s="74" t="s">
        <v>434</v>
      </c>
      <c r="C113" s="63" t="s">
        <v>458</v>
      </c>
      <c r="D113" s="63" t="s">
        <v>1031</v>
      </c>
      <c r="E113" s="63" t="s">
        <v>1038</v>
      </c>
      <c r="F113" s="63" t="s">
        <v>1129</v>
      </c>
      <c r="G113" s="63" t="s">
        <v>423</v>
      </c>
      <c r="H113" s="65">
        <v>200000</v>
      </c>
      <c r="I113" s="66">
        <f t="shared" si="2"/>
        <v>0</v>
      </c>
      <c r="J113" s="65">
        <v>200000</v>
      </c>
    </row>
    <row r="114" spans="2:10" ht="31.5" x14ac:dyDescent="0.2">
      <c r="B114" s="74" t="s">
        <v>1212</v>
      </c>
      <c r="C114" s="63" t="s">
        <v>458</v>
      </c>
      <c r="D114" s="63" t="s">
        <v>1031</v>
      </c>
      <c r="E114" s="63" t="s">
        <v>1038</v>
      </c>
      <c r="F114" s="63" t="s">
        <v>1129</v>
      </c>
      <c r="G114" s="63" t="s">
        <v>1211</v>
      </c>
      <c r="H114" s="65">
        <v>0</v>
      </c>
      <c r="I114" s="66">
        <f t="shared" si="2"/>
        <v>147000</v>
      </c>
      <c r="J114" s="65">
        <v>147000</v>
      </c>
    </row>
    <row r="115" spans="2:10" ht="66" customHeight="1" x14ac:dyDescent="0.2">
      <c r="B115" s="107" t="s">
        <v>958</v>
      </c>
      <c r="C115" s="63" t="s">
        <v>458</v>
      </c>
      <c r="D115" s="63" t="s">
        <v>1031</v>
      </c>
      <c r="E115" s="63" t="s">
        <v>1038</v>
      </c>
      <c r="F115" s="63" t="s">
        <v>957</v>
      </c>
      <c r="G115" s="63"/>
      <c r="H115" s="65">
        <f>H116</f>
        <v>100</v>
      </c>
      <c r="I115" s="66">
        <f t="shared" si="2"/>
        <v>-100</v>
      </c>
      <c r="J115" s="65">
        <f>J116</f>
        <v>0</v>
      </c>
    </row>
    <row r="116" spans="2:10" ht="21" x14ac:dyDescent="0.2">
      <c r="B116" s="74" t="s">
        <v>434</v>
      </c>
      <c r="C116" s="63" t="s">
        <v>458</v>
      </c>
      <c r="D116" s="63" t="s">
        <v>1031</v>
      </c>
      <c r="E116" s="63" t="s">
        <v>1038</v>
      </c>
      <c r="F116" s="63" t="s">
        <v>957</v>
      </c>
      <c r="G116" s="63" t="s">
        <v>423</v>
      </c>
      <c r="H116" s="65">
        <v>100</v>
      </c>
      <c r="I116" s="66">
        <f t="shared" si="2"/>
        <v>-100</v>
      </c>
      <c r="J116" s="65">
        <v>0</v>
      </c>
    </row>
    <row r="117" spans="2:10" ht="27" customHeight="1" x14ac:dyDescent="0.2">
      <c r="B117" s="74" t="s">
        <v>1196</v>
      </c>
      <c r="C117" s="63" t="s">
        <v>458</v>
      </c>
      <c r="D117" s="63" t="s">
        <v>1031</v>
      </c>
      <c r="E117" s="63" t="s">
        <v>1038</v>
      </c>
      <c r="F117" s="63" t="s">
        <v>816</v>
      </c>
      <c r="G117" s="63"/>
      <c r="H117" s="66">
        <f>H118</f>
        <v>503500</v>
      </c>
      <c r="I117" s="66">
        <f t="shared" si="2"/>
        <v>-3500</v>
      </c>
      <c r="J117" s="66">
        <f>J118</f>
        <v>500000</v>
      </c>
    </row>
    <row r="118" spans="2:10" ht="34.5" customHeight="1" x14ac:dyDescent="0.2">
      <c r="B118" s="74" t="s">
        <v>1195</v>
      </c>
      <c r="C118" s="63" t="s">
        <v>458</v>
      </c>
      <c r="D118" s="63" t="s">
        <v>1031</v>
      </c>
      <c r="E118" s="63" t="s">
        <v>1038</v>
      </c>
      <c r="F118" s="63" t="s">
        <v>969</v>
      </c>
      <c r="G118" s="63"/>
      <c r="H118" s="65">
        <f>H119</f>
        <v>503500</v>
      </c>
      <c r="I118" s="66">
        <f t="shared" si="2"/>
        <v>-3500</v>
      </c>
      <c r="J118" s="65">
        <f>J119</f>
        <v>500000</v>
      </c>
    </row>
    <row r="119" spans="2:10" ht="21" x14ac:dyDescent="0.2">
      <c r="B119" s="74" t="s">
        <v>434</v>
      </c>
      <c r="C119" s="63" t="s">
        <v>458</v>
      </c>
      <c r="D119" s="63" t="s">
        <v>1031</v>
      </c>
      <c r="E119" s="63" t="s">
        <v>1038</v>
      </c>
      <c r="F119" s="63" t="s">
        <v>969</v>
      </c>
      <c r="G119" s="63" t="s">
        <v>423</v>
      </c>
      <c r="H119" s="65">
        <v>503500</v>
      </c>
      <c r="I119" s="66">
        <f t="shared" si="2"/>
        <v>-3500</v>
      </c>
      <c r="J119" s="65">
        <v>500000</v>
      </c>
    </row>
    <row r="120" spans="2:10" ht="21" x14ac:dyDescent="0.2">
      <c r="B120" s="107" t="s">
        <v>481</v>
      </c>
      <c r="C120" s="63" t="s">
        <v>458</v>
      </c>
      <c r="D120" s="63" t="s">
        <v>1031</v>
      </c>
      <c r="E120" s="63" t="s">
        <v>1038</v>
      </c>
      <c r="F120" s="63" t="s">
        <v>1213</v>
      </c>
      <c r="G120" s="63"/>
      <c r="H120" s="65">
        <f>H121</f>
        <v>0</v>
      </c>
      <c r="I120" s="66">
        <f t="shared" si="2"/>
        <v>100</v>
      </c>
      <c r="J120" s="65">
        <f>J121</f>
        <v>100</v>
      </c>
    </row>
    <row r="121" spans="2:10" ht="21" x14ac:dyDescent="0.2">
      <c r="B121" s="74" t="s">
        <v>434</v>
      </c>
      <c r="C121" s="63" t="s">
        <v>458</v>
      </c>
      <c r="D121" s="63" t="s">
        <v>1031</v>
      </c>
      <c r="E121" s="63" t="s">
        <v>1038</v>
      </c>
      <c r="F121" s="63" t="s">
        <v>1213</v>
      </c>
      <c r="G121" s="63" t="s">
        <v>423</v>
      </c>
      <c r="H121" s="65">
        <v>0</v>
      </c>
      <c r="I121" s="66">
        <f t="shared" si="2"/>
        <v>100</v>
      </c>
      <c r="J121" s="65">
        <v>100</v>
      </c>
    </row>
    <row r="122" spans="2:10" ht="21" hidden="1" x14ac:dyDescent="0.2">
      <c r="B122" s="107" t="s">
        <v>481</v>
      </c>
      <c r="C122" s="63" t="s">
        <v>458</v>
      </c>
      <c r="D122" s="63" t="s">
        <v>1031</v>
      </c>
      <c r="E122" s="63" t="s">
        <v>1038</v>
      </c>
      <c r="F122" s="63" t="s">
        <v>691</v>
      </c>
      <c r="G122" s="63"/>
      <c r="H122" s="65">
        <f>H123</f>
        <v>0</v>
      </c>
      <c r="I122" s="66">
        <f t="shared" si="2"/>
        <v>0</v>
      </c>
      <c r="J122" s="65">
        <f>J123</f>
        <v>0</v>
      </c>
    </row>
    <row r="123" spans="2:10" ht="21" hidden="1" x14ac:dyDescent="0.2">
      <c r="B123" s="74" t="s">
        <v>434</v>
      </c>
      <c r="C123" s="63" t="s">
        <v>458</v>
      </c>
      <c r="D123" s="63" t="s">
        <v>1031</v>
      </c>
      <c r="E123" s="63" t="s">
        <v>1038</v>
      </c>
      <c r="F123" s="63" t="s">
        <v>691</v>
      </c>
      <c r="G123" s="63" t="s">
        <v>423</v>
      </c>
      <c r="H123" s="65">
        <v>0</v>
      </c>
      <c r="I123" s="66">
        <f t="shared" si="2"/>
        <v>0</v>
      </c>
      <c r="J123" s="65">
        <v>0</v>
      </c>
    </row>
    <row r="124" spans="2:10" ht="21" x14ac:dyDescent="0.2">
      <c r="B124" s="107" t="s">
        <v>693</v>
      </c>
      <c r="C124" s="63" t="s">
        <v>458</v>
      </c>
      <c r="D124" s="63" t="s">
        <v>1031</v>
      </c>
      <c r="E124" s="63" t="s">
        <v>1038</v>
      </c>
      <c r="F124" s="63" t="s">
        <v>692</v>
      </c>
      <c r="G124" s="63"/>
      <c r="H124" s="65">
        <f>H125+H126</f>
        <v>61500</v>
      </c>
      <c r="I124" s="66">
        <f t="shared" si="2"/>
        <v>0</v>
      </c>
      <c r="J124" s="65">
        <f>J125+J126</f>
        <v>61500</v>
      </c>
    </row>
    <row r="125" spans="2:10" ht="21" x14ac:dyDescent="0.2">
      <c r="B125" s="74" t="s">
        <v>433</v>
      </c>
      <c r="C125" s="63" t="s">
        <v>458</v>
      </c>
      <c r="D125" s="63" t="s">
        <v>1031</v>
      </c>
      <c r="E125" s="63" t="s">
        <v>1038</v>
      </c>
      <c r="F125" s="63" t="s">
        <v>692</v>
      </c>
      <c r="G125" s="63" t="s">
        <v>427</v>
      </c>
      <c r="H125" s="65">
        <v>14000</v>
      </c>
      <c r="I125" s="66">
        <f t="shared" si="2"/>
        <v>-5000</v>
      </c>
      <c r="J125" s="65">
        <v>9000</v>
      </c>
    </row>
    <row r="126" spans="2:10" ht="21" x14ac:dyDescent="0.2">
      <c r="B126" s="74" t="s">
        <v>434</v>
      </c>
      <c r="C126" s="63" t="s">
        <v>458</v>
      </c>
      <c r="D126" s="63" t="s">
        <v>1031</v>
      </c>
      <c r="E126" s="63" t="s">
        <v>1038</v>
      </c>
      <c r="F126" s="63" t="s">
        <v>692</v>
      </c>
      <c r="G126" s="63" t="s">
        <v>423</v>
      </c>
      <c r="H126" s="65">
        <f>36000+11500</f>
        <v>47500</v>
      </c>
      <c r="I126" s="66">
        <f t="shared" si="2"/>
        <v>5000</v>
      </c>
      <c r="J126" s="65">
        <v>52500</v>
      </c>
    </row>
    <row r="127" spans="2:10" ht="42" x14ac:dyDescent="0.2">
      <c r="B127" s="107" t="s">
        <v>329</v>
      </c>
      <c r="C127" s="63" t="s">
        <v>458</v>
      </c>
      <c r="D127" s="63" t="s">
        <v>1031</v>
      </c>
      <c r="E127" s="63" t="s">
        <v>1038</v>
      </c>
      <c r="F127" s="63" t="s">
        <v>694</v>
      </c>
      <c r="G127" s="63"/>
      <c r="H127" s="65">
        <f>H128+H129+H130</f>
        <v>190400</v>
      </c>
      <c r="I127" s="66">
        <f t="shared" si="2"/>
        <v>0</v>
      </c>
      <c r="J127" s="65">
        <f>J128+J129+J130</f>
        <v>190400</v>
      </c>
    </row>
    <row r="128" spans="2:10" x14ac:dyDescent="0.2">
      <c r="B128" s="74" t="s">
        <v>431</v>
      </c>
      <c r="C128" s="63" t="s">
        <v>458</v>
      </c>
      <c r="D128" s="63" t="s">
        <v>1031</v>
      </c>
      <c r="E128" s="63" t="s">
        <v>1038</v>
      </c>
      <c r="F128" s="63" t="s">
        <v>694</v>
      </c>
      <c r="G128" s="63" t="s">
        <v>424</v>
      </c>
      <c r="H128" s="65">
        <f>109588+31888</f>
        <v>141476</v>
      </c>
      <c r="I128" s="66">
        <f t="shared" si="2"/>
        <v>0</v>
      </c>
      <c r="J128" s="65">
        <f>109588+31888</f>
        <v>141476</v>
      </c>
    </row>
    <row r="129" spans="2:10" ht="21" x14ac:dyDescent="0.2">
      <c r="B129" s="74" t="s">
        <v>433</v>
      </c>
      <c r="C129" s="63" t="s">
        <v>458</v>
      </c>
      <c r="D129" s="63" t="s">
        <v>1031</v>
      </c>
      <c r="E129" s="63" t="s">
        <v>1038</v>
      </c>
      <c r="F129" s="63" t="s">
        <v>694</v>
      </c>
      <c r="G129" s="63" t="s">
        <v>427</v>
      </c>
      <c r="H129" s="65">
        <v>30000</v>
      </c>
      <c r="I129" s="66">
        <f t="shared" si="2"/>
        <v>0</v>
      </c>
      <c r="J129" s="65">
        <v>30000</v>
      </c>
    </row>
    <row r="130" spans="2:10" ht="21" x14ac:dyDescent="0.2">
      <c r="B130" s="74" t="s">
        <v>434</v>
      </c>
      <c r="C130" s="63" t="s">
        <v>458</v>
      </c>
      <c r="D130" s="63" t="s">
        <v>1031</v>
      </c>
      <c r="E130" s="63" t="s">
        <v>1038</v>
      </c>
      <c r="F130" s="63" t="s">
        <v>694</v>
      </c>
      <c r="G130" s="63" t="s">
        <v>423</v>
      </c>
      <c r="H130" s="65">
        <v>18924</v>
      </c>
      <c r="I130" s="66">
        <f t="shared" si="2"/>
        <v>0</v>
      </c>
      <c r="J130" s="65">
        <v>18924</v>
      </c>
    </row>
    <row r="131" spans="2:10" ht="21" x14ac:dyDescent="0.2">
      <c r="B131" s="74" t="s">
        <v>685</v>
      </c>
      <c r="C131" s="63" t="s">
        <v>458</v>
      </c>
      <c r="D131" s="63" t="s">
        <v>1031</v>
      </c>
      <c r="E131" s="63" t="s">
        <v>1038</v>
      </c>
      <c r="F131" s="63" t="s">
        <v>911</v>
      </c>
      <c r="G131" s="63"/>
      <c r="H131" s="65">
        <f>H132</f>
        <v>589800</v>
      </c>
      <c r="I131" s="66">
        <f t="shared" si="2"/>
        <v>0</v>
      </c>
      <c r="J131" s="65">
        <f>J132</f>
        <v>589800</v>
      </c>
    </row>
    <row r="132" spans="2:10" x14ac:dyDescent="0.2">
      <c r="B132" s="74" t="s">
        <v>431</v>
      </c>
      <c r="C132" s="63" t="s">
        <v>458</v>
      </c>
      <c r="D132" s="63" t="s">
        <v>1031</v>
      </c>
      <c r="E132" s="63" t="s">
        <v>1038</v>
      </c>
      <c r="F132" s="63" t="s">
        <v>911</v>
      </c>
      <c r="G132" s="63" t="s">
        <v>424</v>
      </c>
      <c r="H132" s="65">
        <f>453000+136800</f>
        <v>589800</v>
      </c>
      <c r="I132" s="66">
        <f t="shared" si="2"/>
        <v>0</v>
      </c>
      <c r="J132" s="65">
        <f>453000+136800</f>
        <v>589800</v>
      </c>
    </row>
    <row r="133" spans="2:10" hidden="1" x14ac:dyDescent="0.2">
      <c r="B133" s="74" t="s">
        <v>397</v>
      </c>
      <c r="C133" s="63" t="s">
        <v>458</v>
      </c>
      <c r="D133" s="63" t="s">
        <v>1032</v>
      </c>
      <c r="E133" s="63" t="s">
        <v>1034</v>
      </c>
      <c r="F133" s="63"/>
      <c r="G133" s="63"/>
      <c r="H133" s="65">
        <f t="shared" ref="H133:J134" si="3">H134</f>
        <v>0</v>
      </c>
      <c r="I133" s="66">
        <f t="shared" si="2"/>
        <v>0</v>
      </c>
      <c r="J133" s="65">
        <f t="shared" si="3"/>
        <v>0</v>
      </c>
    </row>
    <row r="134" spans="2:10" hidden="1" x14ac:dyDescent="0.2">
      <c r="B134" s="74" t="s">
        <v>696</v>
      </c>
      <c r="C134" s="63" t="s">
        <v>458</v>
      </c>
      <c r="D134" s="63" t="s">
        <v>1032</v>
      </c>
      <c r="E134" s="63" t="s">
        <v>1034</v>
      </c>
      <c r="F134" s="63" t="s">
        <v>695</v>
      </c>
      <c r="G134" s="63"/>
      <c r="H134" s="65">
        <f t="shared" si="3"/>
        <v>0</v>
      </c>
      <c r="I134" s="66">
        <f t="shared" si="2"/>
        <v>0</v>
      </c>
      <c r="J134" s="65">
        <f t="shared" si="3"/>
        <v>0</v>
      </c>
    </row>
    <row r="135" spans="2:10" hidden="1" x14ac:dyDescent="0.2">
      <c r="B135" s="74" t="s">
        <v>396</v>
      </c>
      <c r="C135" s="63" t="s">
        <v>458</v>
      </c>
      <c r="D135" s="63" t="s">
        <v>1032</v>
      </c>
      <c r="E135" s="63" t="s">
        <v>1034</v>
      </c>
      <c r="F135" s="63" t="s">
        <v>695</v>
      </c>
      <c r="G135" s="63" t="s">
        <v>395</v>
      </c>
      <c r="H135" s="65">
        <v>0</v>
      </c>
      <c r="I135" s="66">
        <f t="shared" si="2"/>
        <v>0</v>
      </c>
      <c r="J135" s="65">
        <v>0</v>
      </c>
    </row>
    <row r="136" spans="2:10" ht="31.5" x14ac:dyDescent="0.2">
      <c r="B136" s="74" t="s">
        <v>507</v>
      </c>
      <c r="C136" s="63" t="s">
        <v>458</v>
      </c>
      <c r="D136" s="63" t="s">
        <v>1033</v>
      </c>
      <c r="E136" s="63" t="s">
        <v>1039</v>
      </c>
      <c r="F136" s="63"/>
      <c r="G136" s="63"/>
      <c r="H136" s="66">
        <f>H147+H138+H143</f>
        <v>0</v>
      </c>
      <c r="I136" s="66">
        <f t="shared" si="2"/>
        <v>1445400</v>
      </c>
      <c r="J136" s="66">
        <f>J147+J138+J143</f>
        <v>1445400</v>
      </c>
    </row>
    <row r="137" spans="2:10" ht="52.5" x14ac:dyDescent="0.2">
      <c r="B137" s="74" t="s">
        <v>1216</v>
      </c>
      <c r="C137" s="63" t="s">
        <v>458</v>
      </c>
      <c r="D137" s="63" t="s">
        <v>1033</v>
      </c>
      <c r="E137" s="63" t="s">
        <v>1039</v>
      </c>
      <c r="F137" s="63" t="s">
        <v>794</v>
      </c>
      <c r="G137" s="63"/>
      <c r="H137" s="66">
        <f>H138+H143</f>
        <v>0</v>
      </c>
      <c r="I137" s="66">
        <f t="shared" si="2"/>
        <v>1445400</v>
      </c>
      <c r="J137" s="66">
        <f>J138+J143</f>
        <v>1445400</v>
      </c>
    </row>
    <row r="138" spans="2:10" ht="52.5" x14ac:dyDescent="0.2">
      <c r="B138" s="74" t="s">
        <v>1215</v>
      </c>
      <c r="C138" s="63" t="s">
        <v>458</v>
      </c>
      <c r="D138" s="63" t="s">
        <v>1033</v>
      </c>
      <c r="E138" s="63" t="s">
        <v>1039</v>
      </c>
      <c r="F138" s="63" t="s">
        <v>1071</v>
      </c>
      <c r="G138" s="63"/>
      <c r="H138" s="66">
        <f>H139+H140+H141+H142</f>
        <v>0</v>
      </c>
      <c r="I138" s="66">
        <f t="shared" si="2"/>
        <v>500000</v>
      </c>
      <c r="J138" s="66">
        <f>J139+J140+J141+J142</f>
        <v>500000</v>
      </c>
    </row>
    <row r="139" spans="2:10" hidden="1" x14ac:dyDescent="0.2">
      <c r="B139" s="74" t="s">
        <v>431</v>
      </c>
      <c r="C139" s="63" t="s">
        <v>458</v>
      </c>
      <c r="D139" s="63" t="s">
        <v>1033</v>
      </c>
      <c r="E139" s="63" t="s">
        <v>1039</v>
      </c>
      <c r="F139" s="63" t="s">
        <v>1071</v>
      </c>
      <c r="G139" s="63" t="s">
        <v>424</v>
      </c>
      <c r="H139" s="66">
        <f>50000+170000-220000</f>
        <v>0</v>
      </c>
      <c r="I139" s="66">
        <f t="shared" si="2"/>
        <v>0</v>
      </c>
      <c r="J139" s="66">
        <v>0</v>
      </c>
    </row>
    <row r="140" spans="2:10" ht="21" hidden="1" x14ac:dyDescent="0.2">
      <c r="B140" s="74" t="s">
        <v>433</v>
      </c>
      <c r="C140" s="63" t="s">
        <v>458</v>
      </c>
      <c r="D140" s="63" t="s">
        <v>1033</v>
      </c>
      <c r="E140" s="63" t="s">
        <v>1039</v>
      </c>
      <c r="F140" s="63" t="s">
        <v>1071</v>
      </c>
      <c r="G140" s="63" t="s">
        <v>427</v>
      </c>
      <c r="H140" s="66">
        <v>0</v>
      </c>
      <c r="I140" s="66">
        <f t="shared" si="2"/>
        <v>0</v>
      </c>
      <c r="J140" s="66">
        <v>0</v>
      </c>
    </row>
    <row r="141" spans="2:10" ht="21" hidden="1" x14ac:dyDescent="0.2">
      <c r="B141" s="74" t="s">
        <v>434</v>
      </c>
      <c r="C141" s="63" t="s">
        <v>458</v>
      </c>
      <c r="D141" s="63" t="s">
        <v>1033</v>
      </c>
      <c r="E141" s="63" t="s">
        <v>1039</v>
      </c>
      <c r="F141" s="63" t="s">
        <v>1071</v>
      </c>
      <c r="G141" s="63" t="s">
        <v>423</v>
      </c>
      <c r="H141" s="66">
        <v>0</v>
      </c>
      <c r="I141" s="66">
        <f t="shared" si="2"/>
        <v>0</v>
      </c>
      <c r="J141" s="66">
        <v>0</v>
      </c>
    </row>
    <row r="142" spans="2:10" ht="31.5" x14ac:dyDescent="0.2">
      <c r="B142" s="74" t="s">
        <v>250</v>
      </c>
      <c r="C142" s="63" t="s">
        <v>458</v>
      </c>
      <c r="D142" s="63" t="s">
        <v>1033</v>
      </c>
      <c r="E142" s="63" t="s">
        <v>1039</v>
      </c>
      <c r="F142" s="63" t="s">
        <v>1071</v>
      </c>
      <c r="G142" s="63" t="s">
        <v>248</v>
      </c>
      <c r="H142" s="66">
        <v>0</v>
      </c>
      <c r="I142" s="66">
        <f t="shared" si="2"/>
        <v>500000</v>
      </c>
      <c r="J142" s="66">
        <v>500000</v>
      </c>
    </row>
    <row r="143" spans="2:10" ht="21" x14ac:dyDescent="0.2">
      <c r="B143" s="74" t="s">
        <v>1259</v>
      </c>
      <c r="C143" s="63" t="s">
        <v>458</v>
      </c>
      <c r="D143" s="63" t="s">
        <v>1033</v>
      </c>
      <c r="E143" s="63" t="s">
        <v>1039</v>
      </c>
      <c r="F143" s="63" t="s">
        <v>1258</v>
      </c>
      <c r="G143" s="63"/>
      <c r="H143" s="66">
        <f>H144+H145+H146</f>
        <v>0</v>
      </c>
      <c r="I143" s="66">
        <f t="shared" si="2"/>
        <v>945400</v>
      </c>
      <c r="J143" s="66">
        <f>J144+J145+J146</f>
        <v>945400</v>
      </c>
    </row>
    <row r="144" spans="2:10" x14ac:dyDescent="0.2">
      <c r="B144" s="74" t="s">
        <v>431</v>
      </c>
      <c r="C144" s="63" t="s">
        <v>458</v>
      </c>
      <c r="D144" s="63" t="s">
        <v>1033</v>
      </c>
      <c r="E144" s="63" t="s">
        <v>1039</v>
      </c>
      <c r="F144" s="63" t="s">
        <v>1258</v>
      </c>
      <c r="G144" s="63" t="s">
        <v>424</v>
      </c>
      <c r="H144" s="66">
        <v>0</v>
      </c>
      <c r="I144" s="66">
        <f t="shared" si="2"/>
        <v>807900</v>
      </c>
      <c r="J144" s="66">
        <v>807900</v>
      </c>
    </row>
    <row r="145" spans="2:10" ht="21" x14ac:dyDescent="0.2">
      <c r="B145" s="74" t="s">
        <v>433</v>
      </c>
      <c r="C145" s="63" t="s">
        <v>458</v>
      </c>
      <c r="D145" s="63" t="s">
        <v>1033</v>
      </c>
      <c r="E145" s="63" t="s">
        <v>1039</v>
      </c>
      <c r="F145" s="63" t="s">
        <v>1258</v>
      </c>
      <c r="G145" s="63" t="s">
        <v>427</v>
      </c>
      <c r="H145" s="66">
        <v>0</v>
      </c>
      <c r="I145" s="66">
        <f t="shared" si="2"/>
        <v>34410</v>
      </c>
      <c r="J145" s="66">
        <v>34410</v>
      </c>
    </row>
    <row r="146" spans="2:10" ht="21" x14ac:dyDescent="0.2">
      <c r="B146" s="74" t="s">
        <v>434</v>
      </c>
      <c r="C146" s="63" t="s">
        <v>458</v>
      </c>
      <c r="D146" s="63" t="s">
        <v>1033</v>
      </c>
      <c r="E146" s="63" t="s">
        <v>1039</v>
      </c>
      <c r="F146" s="63" t="s">
        <v>1258</v>
      </c>
      <c r="G146" s="63" t="s">
        <v>423</v>
      </c>
      <c r="H146" s="66">
        <v>0</v>
      </c>
      <c r="I146" s="66">
        <f t="shared" si="2"/>
        <v>103090</v>
      </c>
      <c r="J146" s="66">
        <v>103090</v>
      </c>
    </row>
    <row r="147" spans="2:10" ht="31.5" hidden="1" x14ac:dyDescent="0.2">
      <c r="B147" s="74" t="s">
        <v>697</v>
      </c>
      <c r="C147" s="63" t="s">
        <v>458</v>
      </c>
      <c r="D147" s="63" t="s">
        <v>1033</v>
      </c>
      <c r="E147" s="63" t="s">
        <v>1039</v>
      </c>
      <c r="F147" s="63" t="s">
        <v>914</v>
      </c>
      <c r="G147" s="63"/>
      <c r="H147" s="65">
        <f>H148</f>
        <v>0</v>
      </c>
      <c r="I147" s="66">
        <f t="shared" si="2"/>
        <v>0</v>
      </c>
      <c r="J147" s="65">
        <f>J148</f>
        <v>0</v>
      </c>
    </row>
    <row r="148" spans="2:10" ht="21" hidden="1" x14ac:dyDescent="0.2">
      <c r="B148" s="74" t="s">
        <v>434</v>
      </c>
      <c r="C148" s="63" t="s">
        <v>458</v>
      </c>
      <c r="D148" s="63" t="s">
        <v>1033</v>
      </c>
      <c r="E148" s="63" t="s">
        <v>1039</v>
      </c>
      <c r="F148" s="63" t="s">
        <v>914</v>
      </c>
      <c r="G148" s="63" t="s">
        <v>423</v>
      </c>
      <c r="H148" s="65">
        <v>0</v>
      </c>
      <c r="I148" s="66">
        <f t="shared" si="2"/>
        <v>0</v>
      </c>
      <c r="J148" s="65">
        <v>0</v>
      </c>
    </row>
    <row r="149" spans="2:10" ht="21" x14ac:dyDescent="0.2">
      <c r="B149" s="74" t="s">
        <v>440</v>
      </c>
      <c r="C149" s="63" t="s">
        <v>458</v>
      </c>
      <c r="D149" s="63" t="s">
        <v>1033</v>
      </c>
      <c r="E149" s="63" t="s">
        <v>1040</v>
      </c>
      <c r="F149" s="63"/>
      <c r="G149" s="63"/>
      <c r="H149" s="65">
        <f>H158+H164+H161+H153+H169+H155</f>
        <v>875400</v>
      </c>
      <c r="I149" s="66">
        <f t="shared" si="2"/>
        <v>-844511.6</v>
      </c>
      <c r="J149" s="65">
        <f>J158+J164+J161+J153+J169+J155+J151</f>
        <v>30888.400000000001</v>
      </c>
    </row>
    <row r="150" spans="2:10" ht="52.5" x14ac:dyDescent="0.2">
      <c r="B150" s="74" t="s">
        <v>1063</v>
      </c>
      <c r="C150" s="63" t="s">
        <v>458</v>
      </c>
      <c r="D150" s="63" t="s">
        <v>1033</v>
      </c>
      <c r="E150" s="63" t="s">
        <v>1040</v>
      </c>
      <c r="F150" s="63" t="s">
        <v>788</v>
      </c>
      <c r="G150" s="63"/>
      <c r="H150" s="65">
        <f>H153+H151</f>
        <v>5000</v>
      </c>
      <c r="I150" s="66">
        <f t="shared" ref="I150:I213" si="4">J150-H150</f>
        <v>2088</v>
      </c>
      <c r="J150" s="65">
        <f>J153+J151</f>
        <v>7088</v>
      </c>
    </row>
    <row r="151" spans="2:10" ht="63" x14ac:dyDescent="0.2">
      <c r="B151" s="74" t="s">
        <v>1214</v>
      </c>
      <c r="C151" s="63" t="s">
        <v>458</v>
      </c>
      <c r="D151" s="63" t="s">
        <v>1033</v>
      </c>
      <c r="E151" s="63" t="s">
        <v>1040</v>
      </c>
      <c r="F151" s="63" t="s">
        <v>1050</v>
      </c>
      <c r="G151" s="63"/>
      <c r="H151" s="65">
        <f>H152</f>
        <v>0</v>
      </c>
      <c r="I151" s="66">
        <f t="shared" si="4"/>
        <v>2088</v>
      </c>
      <c r="J151" s="65">
        <f>J152</f>
        <v>2088</v>
      </c>
    </row>
    <row r="152" spans="2:10" x14ac:dyDescent="0.2">
      <c r="B152" s="74" t="s">
        <v>701</v>
      </c>
      <c r="C152" s="63" t="s">
        <v>458</v>
      </c>
      <c r="D152" s="63" t="s">
        <v>1033</v>
      </c>
      <c r="E152" s="63" t="s">
        <v>1040</v>
      </c>
      <c r="F152" s="63" t="s">
        <v>1050</v>
      </c>
      <c r="G152" s="63" t="s">
        <v>700</v>
      </c>
      <c r="H152" s="65">
        <v>0</v>
      </c>
      <c r="I152" s="66">
        <f t="shared" si="4"/>
        <v>2088</v>
      </c>
      <c r="J152" s="65">
        <v>2088</v>
      </c>
    </row>
    <row r="153" spans="2:10" ht="52.5" x14ac:dyDescent="0.2">
      <c r="B153" s="74" t="s">
        <v>1069</v>
      </c>
      <c r="C153" s="63" t="s">
        <v>458</v>
      </c>
      <c r="D153" s="63" t="s">
        <v>1033</v>
      </c>
      <c r="E153" s="63" t="s">
        <v>1040</v>
      </c>
      <c r="F153" s="63" t="s">
        <v>1068</v>
      </c>
      <c r="G153" s="63"/>
      <c r="H153" s="65">
        <f>H154</f>
        <v>5000</v>
      </c>
      <c r="I153" s="66">
        <f t="shared" si="4"/>
        <v>0</v>
      </c>
      <c r="J153" s="65">
        <f>J154</f>
        <v>5000</v>
      </c>
    </row>
    <row r="154" spans="2:10" ht="21" x14ac:dyDescent="0.2">
      <c r="B154" s="74" t="s">
        <v>434</v>
      </c>
      <c r="C154" s="63" t="s">
        <v>458</v>
      </c>
      <c r="D154" s="63" t="s">
        <v>1033</v>
      </c>
      <c r="E154" s="63" t="s">
        <v>1040</v>
      </c>
      <c r="F154" s="63" t="s">
        <v>1068</v>
      </c>
      <c r="G154" s="63" t="s">
        <v>423</v>
      </c>
      <c r="H154" s="65">
        <v>5000</v>
      </c>
      <c r="I154" s="66">
        <f t="shared" si="4"/>
        <v>0</v>
      </c>
      <c r="J154" s="65">
        <v>5000</v>
      </c>
    </row>
    <row r="155" spans="2:10" ht="63" x14ac:dyDescent="0.2">
      <c r="B155" s="74" t="s">
        <v>1214</v>
      </c>
      <c r="C155" s="63" t="s">
        <v>458</v>
      </c>
      <c r="D155" s="63" t="s">
        <v>1033</v>
      </c>
      <c r="E155" s="63" t="s">
        <v>1040</v>
      </c>
      <c r="F155" s="63" t="s">
        <v>1217</v>
      </c>
      <c r="G155" s="63"/>
      <c r="H155" s="65">
        <f>H156</f>
        <v>0</v>
      </c>
      <c r="I155" s="66">
        <f t="shared" si="4"/>
        <v>23800.400000000001</v>
      </c>
      <c r="J155" s="65">
        <f>J156</f>
        <v>23800.400000000001</v>
      </c>
    </row>
    <row r="156" spans="2:10" x14ac:dyDescent="0.2">
      <c r="B156" s="74" t="s">
        <v>701</v>
      </c>
      <c r="C156" s="63" t="s">
        <v>458</v>
      </c>
      <c r="D156" s="63" t="s">
        <v>1033</v>
      </c>
      <c r="E156" s="63" t="s">
        <v>1040</v>
      </c>
      <c r="F156" s="63" t="s">
        <v>1217</v>
      </c>
      <c r="G156" s="63" t="s">
        <v>700</v>
      </c>
      <c r="H156" s="65">
        <v>0</v>
      </c>
      <c r="I156" s="66">
        <f t="shared" si="4"/>
        <v>23800.400000000001</v>
      </c>
      <c r="J156" s="65">
        <v>23800.400000000001</v>
      </c>
    </row>
    <row r="157" spans="2:10" ht="73.5" hidden="1" x14ac:dyDescent="0.2">
      <c r="B157" s="74" t="s">
        <v>1013</v>
      </c>
      <c r="C157" s="63" t="s">
        <v>458</v>
      </c>
      <c r="D157" s="63" t="s">
        <v>1033</v>
      </c>
      <c r="E157" s="63" t="s">
        <v>1040</v>
      </c>
      <c r="F157" s="63" t="s">
        <v>791</v>
      </c>
      <c r="G157" s="63"/>
      <c r="H157" s="65">
        <f t="shared" ref="H157:J158" si="5">H158</f>
        <v>0</v>
      </c>
      <c r="I157" s="66">
        <f t="shared" si="4"/>
        <v>0</v>
      </c>
      <c r="J157" s="65">
        <f t="shared" si="5"/>
        <v>0</v>
      </c>
    </row>
    <row r="158" spans="2:10" ht="63" hidden="1" x14ac:dyDescent="0.2">
      <c r="B158" s="74" t="s">
        <v>1114</v>
      </c>
      <c r="C158" s="63" t="s">
        <v>458</v>
      </c>
      <c r="D158" s="63" t="s">
        <v>1033</v>
      </c>
      <c r="E158" s="63" t="s">
        <v>1040</v>
      </c>
      <c r="F158" s="63" t="s">
        <v>793</v>
      </c>
      <c r="G158" s="63"/>
      <c r="H158" s="65">
        <f t="shared" si="5"/>
        <v>0</v>
      </c>
      <c r="I158" s="66">
        <f t="shared" si="4"/>
        <v>0</v>
      </c>
      <c r="J158" s="65">
        <f t="shared" si="5"/>
        <v>0</v>
      </c>
    </row>
    <row r="159" spans="2:10" hidden="1" x14ac:dyDescent="0.2">
      <c r="B159" s="74" t="s">
        <v>701</v>
      </c>
      <c r="C159" s="63" t="s">
        <v>458</v>
      </c>
      <c r="D159" s="63" t="s">
        <v>1033</v>
      </c>
      <c r="E159" s="63" t="s">
        <v>1040</v>
      </c>
      <c r="F159" s="63" t="s">
        <v>793</v>
      </c>
      <c r="G159" s="63" t="s">
        <v>700</v>
      </c>
      <c r="H159" s="65">
        <v>0</v>
      </c>
      <c r="I159" s="66">
        <f t="shared" si="4"/>
        <v>0</v>
      </c>
      <c r="J159" s="65">
        <v>0</v>
      </c>
    </row>
    <row r="160" spans="2:10" ht="84" hidden="1" x14ac:dyDescent="0.2">
      <c r="B160" s="74" t="s">
        <v>1012</v>
      </c>
      <c r="C160" s="63" t="s">
        <v>458</v>
      </c>
      <c r="D160" s="63" t="s">
        <v>1033</v>
      </c>
      <c r="E160" s="63" t="s">
        <v>1040</v>
      </c>
      <c r="F160" s="63" t="s">
        <v>788</v>
      </c>
      <c r="G160" s="63"/>
      <c r="H160" s="65">
        <f>H161</f>
        <v>0</v>
      </c>
      <c r="I160" s="66">
        <f t="shared" si="4"/>
        <v>0</v>
      </c>
      <c r="J160" s="65">
        <f>J161</f>
        <v>0</v>
      </c>
    </row>
    <row r="161" spans="2:10" ht="52.5" hidden="1" x14ac:dyDescent="0.2">
      <c r="B161" s="74" t="s">
        <v>1115</v>
      </c>
      <c r="C161" s="63" t="s">
        <v>458</v>
      </c>
      <c r="D161" s="63" t="s">
        <v>1033</v>
      </c>
      <c r="E161" s="63" t="s">
        <v>1040</v>
      </c>
      <c r="F161" s="63" t="s">
        <v>1050</v>
      </c>
      <c r="G161" s="63"/>
      <c r="H161" s="65">
        <f>H162</f>
        <v>0</v>
      </c>
      <c r="I161" s="66">
        <f t="shared" si="4"/>
        <v>0</v>
      </c>
      <c r="J161" s="65">
        <f>J162</f>
        <v>0</v>
      </c>
    </row>
    <row r="162" spans="2:10" ht="21" hidden="1" x14ac:dyDescent="0.2">
      <c r="B162" s="74" t="s">
        <v>434</v>
      </c>
      <c r="C162" s="63" t="s">
        <v>458</v>
      </c>
      <c r="D162" s="63" t="s">
        <v>1033</v>
      </c>
      <c r="E162" s="63" t="s">
        <v>1040</v>
      </c>
      <c r="F162" s="63" t="s">
        <v>1050</v>
      </c>
      <c r="G162" s="63" t="s">
        <v>423</v>
      </c>
      <c r="H162" s="65">
        <v>0</v>
      </c>
      <c r="I162" s="66">
        <f t="shared" si="4"/>
        <v>0</v>
      </c>
      <c r="J162" s="65">
        <v>0</v>
      </c>
    </row>
    <row r="163" spans="2:10" ht="52.5" x14ac:dyDescent="0.2">
      <c r="B163" s="74" t="s">
        <v>1070</v>
      </c>
      <c r="C163" s="63" t="s">
        <v>458</v>
      </c>
      <c r="D163" s="63" t="s">
        <v>1033</v>
      </c>
      <c r="E163" s="63" t="s">
        <v>1040</v>
      </c>
      <c r="F163" s="63" t="s">
        <v>794</v>
      </c>
      <c r="G163" s="63"/>
      <c r="H163" s="65">
        <f>H164+H169</f>
        <v>870400</v>
      </c>
      <c r="I163" s="66">
        <f t="shared" si="4"/>
        <v>-870400</v>
      </c>
      <c r="J163" s="65">
        <f>J164+J169</f>
        <v>0</v>
      </c>
    </row>
    <row r="164" spans="2:10" ht="52.5" hidden="1" x14ac:dyDescent="0.2">
      <c r="B164" s="74" t="s">
        <v>1022</v>
      </c>
      <c r="C164" s="63" t="s">
        <v>458</v>
      </c>
      <c r="D164" s="63" t="s">
        <v>1033</v>
      </c>
      <c r="E164" s="63" t="s">
        <v>1040</v>
      </c>
      <c r="F164" s="63" t="s">
        <v>796</v>
      </c>
      <c r="G164" s="63"/>
      <c r="H164" s="65">
        <f>H165+H166+H168+H167</f>
        <v>0</v>
      </c>
      <c r="I164" s="66">
        <f t="shared" si="4"/>
        <v>0</v>
      </c>
      <c r="J164" s="65">
        <f>J165+J166+J168+J167</f>
        <v>0</v>
      </c>
    </row>
    <row r="165" spans="2:10" hidden="1" x14ac:dyDescent="0.2">
      <c r="B165" s="74" t="s">
        <v>431</v>
      </c>
      <c r="C165" s="63" t="s">
        <v>458</v>
      </c>
      <c r="D165" s="63" t="s">
        <v>1033</v>
      </c>
      <c r="E165" s="63" t="s">
        <v>1040</v>
      </c>
      <c r="F165" s="63" t="s">
        <v>796</v>
      </c>
      <c r="G165" s="63">
        <v>121</v>
      </c>
      <c r="H165" s="66">
        <v>0</v>
      </c>
      <c r="I165" s="66">
        <f t="shared" si="4"/>
        <v>0</v>
      </c>
      <c r="J165" s="66">
        <v>0</v>
      </c>
    </row>
    <row r="166" spans="2:10" ht="21" hidden="1" x14ac:dyDescent="0.2">
      <c r="B166" s="74" t="s">
        <v>432</v>
      </c>
      <c r="C166" s="63" t="s">
        <v>458</v>
      </c>
      <c r="D166" s="63" t="s">
        <v>1033</v>
      </c>
      <c r="E166" s="63" t="s">
        <v>1040</v>
      </c>
      <c r="F166" s="63" t="s">
        <v>796</v>
      </c>
      <c r="G166" s="63" t="s">
        <v>425</v>
      </c>
      <c r="H166" s="66">
        <v>0</v>
      </c>
      <c r="I166" s="66">
        <f t="shared" si="4"/>
        <v>0</v>
      </c>
      <c r="J166" s="66">
        <v>0</v>
      </c>
    </row>
    <row r="167" spans="2:10" ht="21" hidden="1" x14ac:dyDescent="0.2">
      <c r="B167" s="74" t="s">
        <v>433</v>
      </c>
      <c r="C167" s="63" t="s">
        <v>458</v>
      </c>
      <c r="D167" s="63" t="s">
        <v>1033</v>
      </c>
      <c r="E167" s="63" t="s">
        <v>1040</v>
      </c>
      <c r="F167" s="63" t="s">
        <v>796</v>
      </c>
      <c r="G167" s="63" t="s">
        <v>427</v>
      </c>
      <c r="H167" s="65">
        <v>0</v>
      </c>
      <c r="I167" s="66">
        <f t="shared" si="4"/>
        <v>0</v>
      </c>
      <c r="J167" s="65">
        <v>0</v>
      </c>
    </row>
    <row r="168" spans="2:10" ht="21" hidden="1" x14ac:dyDescent="0.2">
      <c r="B168" s="74" t="s">
        <v>434</v>
      </c>
      <c r="C168" s="63" t="s">
        <v>458</v>
      </c>
      <c r="D168" s="63" t="s">
        <v>1033</v>
      </c>
      <c r="E168" s="63" t="s">
        <v>1040</v>
      </c>
      <c r="F168" s="63" t="s">
        <v>796</v>
      </c>
      <c r="G168" s="63" t="s">
        <v>423</v>
      </c>
      <c r="H168" s="65">
        <v>0</v>
      </c>
      <c r="I168" s="66">
        <f t="shared" si="4"/>
        <v>0</v>
      </c>
      <c r="J168" s="65">
        <v>0</v>
      </c>
    </row>
    <row r="169" spans="2:10" ht="52.5" x14ac:dyDescent="0.2">
      <c r="B169" s="74" t="s">
        <v>1072</v>
      </c>
      <c r="C169" s="63" t="s">
        <v>458</v>
      </c>
      <c r="D169" s="63" t="s">
        <v>1033</v>
      </c>
      <c r="E169" s="63" t="s">
        <v>1040</v>
      </c>
      <c r="F169" s="63" t="s">
        <v>1071</v>
      </c>
      <c r="G169" s="63"/>
      <c r="H169" s="65">
        <f>H170+H171+H172+H173</f>
        <v>870400</v>
      </c>
      <c r="I169" s="66">
        <f t="shared" si="4"/>
        <v>-870400</v>
      </c>
      <c r="J169" s="65">
        <f>J170+J171+J172+J173</f>
        <v>0</v>
      </c>
    </row>
    <row r="170" spans="2:10" x14ac:dyDescent="0.2">
      <c r="B170" s="74" t="s">
        <v>431</v>
      </c>
      <c r="C170" s="63" t="s">
        <v>458</v>
      </c>
      <c r="D170" s="63" t="s">
        <v>1033</v>
      </c>
      <c r="E170" s="63" t="s">
        <v>1040</v>
      </c>
      <c r="F170" s="63" t="s">
        <v>1071</v>
      </c>
      <c r="G170" s="63">
        <v>121</v>
      </c>
      <c r="H170" s="66">
        <f>629800+178100</f>
        <v>807900</v>
      </c>
      <c r="I170" s="66">
        <f t="shared" si="4"/>
        <v>-807900</v>
      </c>
      <c r="J170" s="66">
        <v>0</v>
      </c>
    </row>
    <row r="171" spans="2:10" ht="21" hidden="1" x14ac:dyDescent="0.2">
      <c r="B171" s="74" t="s">
        <v>432</v>
      </c>
      <c r="C171" s="63" t="s">
        <v>458</v>
      </c>
      <c r="D171" s="63" t="s">
        <v>1033</v>
      </c>
      <c r="E171" s="63" t="s">
        <v>1040</v>
      </c>
      <c r="F171" s="63" t="s">
        <v>1071</v>
      </c>
      <c r="G171" s="63" t="s">
        <v>425</v>
      </c>
      <c r="H171" s="66">
        <v>0</v>
      </c>
      <c r="I171" s="66">
        <f t="shared" si="4"/>
        <v>0</v>
      </c>
      <c r="J171" s="66">
        <v>0</v>
      </c>
    </row>
    <row r="172" spans="2:10" ht="21" x14ac:dyDescent="0.2">
      <c r="B172" s="74" t="s">
        <v>433</v>
      </c>
      <c r="C172" s="63" t="s">
        <v>458</v>
      </c>
      <c r="D172" s="63" t="s">
        <v>1033</v>
      </c>
      <c r="E172" s="63" t="s">
        <v>1040</v>
      </c>
      <c r="F172" s="63" t="s">
        <v>1071</v>
      </c>
      <c r="G172" s="63" t="s">
        <v>427</v>
      </c>
      <c r="H172" s="65">
        <f>22500</f>
        <v>22500</v>
      </c>
      <c r="I172" s="66">
        <f t="shared" si="4"/>
        <v>-22500</v>
      </c>
      <c r="J172" s="65">
        <v>0</v>
      </c>
    </row>
    <row r="173" spans="2:10" ht="21" x14ac:dyDescent="0.2">
      <c r="B173" s="74" t="s">
        <v>434</v>
      </c>
      <c r="C173" s="63" t="s">
        <v>458</v>
      </c>
      <c r="D173" s="63" t="s">
        <v>1033</v>
      </c>
      <c r="E173" s="63" t="s">
        <v>1040</v>
      </c>
      <c r="F173" s="63" t="s">
        <v>1071</v>
      </c>
      <c r="G173" s="63" t="s">
        <v>423</v>
      </c>
      <c r="H173" s="65">
        <v>40000</v>
      </c>
      <c r="I173" s="66">
        <f t="shared" si="4"/>
        <v>-40000</v>
      </c>
      <c r="J173" s="65">
        <v>0</v>
      </c>
    </row>
    <row r="174" spans="2:10" x14ac:dyDescent="0.2">
      <c r="B174" s="74" t="s">
        <v>513</v>
      </c>
      <c r="C174" s="63" t="s">
        <v>458</v>
      </c>
      <c r="D174" s="63" t="s">
        <v>1034</v>
      </c>
      <c r="E174" s="63" t="s">
        <v>1041</v>
      </c>
      <c r="F174" s="63"/>
      <c r="G174" s="63"/>
      <c r="H174" s="66">
        <f>H178+H176+H188+H186</f>
        <v>3090700</v>
      </c>
      <c r="I174" s="66">
        <f t="shared" si="4"/>
        <v>0</v>
      </c>
      <c r="J174" s="66">
        <f>J178+J176+J188+J186</f>
        <v>3090700</v>
      </c>
    </row>
    <row r="175" spans="2:10" ht="44.25" customHeight="1" x14ac:dyDescent="0.2">
      <c r="B175" s="74" t="s">
        <v>1116</v>
      </c>
      <c r="C175" s="63" t="s">
        <v>458</v>
      </c>
      <c r="D175" s="63" t="s">
        <v>1034</v>
      </c>
      <c r="E175" s="63" t="s">
        <v>1041</v>
      </c>
      <c r="F175" s="63" t="s">
        <v>798</v>
      </c>
      <c r="G175" s="63"/>
      <c r="H175" s="65">
        <f>H178+H176</f>
        <v>2445100</v>
      </c>
      <c r="I175" s="66">
        <f t="shared" si="4"/>
        <v>0</v>
      </c>
      <c r="J175" s="65">
        <f>J178+J176</f>
        <v>2445100</v>
      </c>
    </row>
    <row r="176" spans="2:10" ht="45.75" customHeight="1" x14ac:dyDescent="0.2">
      <c r="B176" s="74" t="s">
        <v>1117</v>
      </c>
      <c r="C176" s="63" t="s">
        <v>458</v>
      </c>
      <c r="D176" s="63" t="s">
        <v>1034</v>
      </c>
      <c r="E176" s="63" t="s">
        <v>1041</v>
      </c>
      <c r="F176" s="63" t="s">
        <v>916</v>
      </c>
      <c r="G176" s="63"/>
      <c r="H176" s="65">
        <f>H177</f>
        <v>372000</v>
      </c>
      <c r="I176" s="66">
        <f t="shared" si="4"/>
        <v>0</v>
      </c>
      <c r="J176" s="65">
        <f>J177</f>
        <v>372000</v>
      </c>
    </row>
    <row r="177" spans="2:10" x14ac:dyDescent="0.2">
      <c r="B177" s="74" t="s">
        <v>431</v>
      </c>
      <c r="C177" s="63" t="s">
        <v>458</v>
      </c>
      <c r="D177" s="63" t="s">
        <v>1034</v>
      </c>
      <c r="E177" s="63" t="s">
        <v>1041</v>
      </c>
      <c r="F177" s="63" t="s">
        <v>916</v>
      </c>
      <c r="G177" s="63" t="s">
        <v>424</v>
      </c>
      <c r="H177" s="65">
        <v>372000</v>
      </c>
      <c r="I177" s="66">
        <f t="shared" si="4"/>
        <v>0</v>
      </c>
      <c r="J177" s="65">
        <v>372000</v>
      </c>
    </row>
    <row r="178" spans="2:10" ht="44.25" customHeight="1" x14ac:dyDescent="0.2">
      <c r="B178" s="74" t="s">
        <v>1118</v>
      </c>
      <c r="C178" s="63" t="s">
        <v>458</v>
      </c>
      <c r="D178" s="63" t="s">
        <v>1034</v>
      </c>
      <c r="E178" s="63" t="s">
        <v>1041</v>
      </c>
      <c r="F178" s="63" t="s">
        <v>915</v>
      </c>
      <c r="G178" s="63"/>
      <c r="H178" s="66">
        <f>H179+H180+H181+H182+H183+H184</f>
        <v>2073100</v>
      </c>
      <c r="I178" s="66">
        <f t="shared" si="4"/>
        <v>0</v>
      </c>
      <c r="J178" s="66">
        <f>J179+J180+J181+J182+J183+J184</f>
        <v>2073100</v>
      </c>
    </row>
    <row r="179" spans="2:10" x14ac:dyDescent="0.2">
      <c r="B179" s="74" t="s">
        <v>431</v>
      </c>
      <c r="C179" s="63" t="s">
        <v>458</v>
      </c>
      <c r="D179" s="63" t="s">
        <v>1034</v>
      </c>
      <c r="E179" s="63" t="s">
        <v>1041</v>
      </c>
      <c r="F179" s="63" t="s">
        <v>915</v>
      </c>
      <c r="G179" s="63" t="s">
        <v>424</v>
      </c>
      <c r="H179" s="66">
        <f>1318200+398300</f>
        <v>1716500</v>
      </c>
      <c r="I179" s="66">
        <f t="shared" si="4"/>
        <v>0</v>
      </c>
      <c r="J179" s="66">
        <f>1318200+398300</f>
        <v>1716500</v>
      </c>
    </row>
    <row r="180" spans="2:10" ht="21" x14ac:dyDescent="0.2">
      <c r="B180" s="74" t="s">
        <v>432</v>
      </c>
      <c r="C180" s="63" t="s">
        <v>458</v>
      </c>
      <c r="D180" s="63" t="s">
        <v>1034</v>
      </c>
      <c r="E180" s="63" t="s">
        <v>1041</v>
      </c>
      <c r="F180" s="63" t="s">
        <v>915</v>
      </c>
      <c r="G180" s="63">
        <v>122</v>
      </c>
      <c r="H180" s="66">
        <f>11400+7600+60800</f>
        <v>79800</v>
      </c>
      <c r="I180" s="66">
        <f t="shared" si="4"/>
        <v>0</v>
      </c>
      <c r="J180" s="66">
        <f>11400+7600+60800</f>
        <v>79800</v>
      </c>
    </row>
    <row r="181" spans="2:10" ht="21" x14ac:dyDescent="0.2">
      <c r="B181" s="74" t="s">
        <v>433</v>
      </c>
      <c r="C181" s="63" t="s">
        <v>458</v>
      </c>
      <c r="D181" s="63" t="s">
        <v>1034</v>
      </c>
      <c r="E181" s="63" t="s">
        <v>1041</v>
      </c>
      <c r="F181" s="63" t="s">
        <v>915</v>
      </c>
      <c r="G181" s="63">
        <v>242</v>
      </c>
      <c r="H181" s="65">
        <f>75900+3500+3500</f>
        <v>82900</v>
      </c>
      <c r="I181" s="66">
        <f t="shared" si="4"/>
        <v>0</v>
      </c>
      <c r="J181" s="65">
        <f>75900+3500+3500</f>
        <v>82900</v>
      </c>
    </row>
    <row r="182" spans="2:10" ht="21" x14ac:dyDescent="0.2">
      <c r="B182" s="74" t="s">
        <v>434</v>
      </c>
      <c r="C182" s="63" t="s">
        <v>458</v>
      </c>
      <c r="D182" s="63" t="s">
        <v>1034</v>
      </c>
      <c r="E182" s="63" t="s">
        <v>1041</v>
      </c>
      <c r="F182" s="63" t="s">
        <v>915</v>
      </c>
      <c r="G182" s="63">
        <v>244</v>
      </c>
      <c r="H182" s="65">
        <f>25000+150100</f>
        <v>175100</v>
      </c>
      <c r="I182" s="66">
        <f t="shared" si="4"/>
        <v>0</v>
      </c>
      <c r="J182" s="65">
        <f>25000+150100</f>
        <v>175100</v>
      </c>
    </row>
    <row r="183" spans="2:10" ht="21" x14ac:dyDescent="0.2">
      <c r="B183" s="74" t="s">
        <v>393</v>
      </c>
      <c r="C183" s="63" t="s">
        <v>458</v>
      </c>
      <c r="D183" s="63" t="s">
        <v>1034</v>
      </c>
      <c r="E183" s="63" t="s">
        <v>1041</v>
      </c>
      <c r="F183" s="63" t="s">
        <v>915</v>
      </c>
      <c r="G183" s="63" t="s">
        <v>330</v>
      </c>
      <c r="H183" s="65">
        <v>13600</v>
      </c>
      <c r="I183" s="66">
        <f t="shared" si="4"/>
        <v>0</v>
      </c>
      <c r="J183" s="65">
        <v>13600</v>
      </c>
    </row>
    <row r="184" spans="2:10" x14ac:dyDescent="0.2">
      <c r="B184" s="74" t="s">
        <v>954</v>
      </c>
      <c r="C184" s="63" t="s">
        <v>458</v>
      </c>
      <c r="D184" s="63" t="s">
        <v>1034</v>
      </c>
      <c r="E184" s="63" t="s">
        <v>1041</v>
      </c>
      <c r="F184" s="63" t="s">
        <v>915</v>
      </c>
      <c r="G184" s="63">
        <v>852</v>
      </c>
      <c r="H184" s="66">
        <v>5200</v>
      </c>
      <c r="I184" s="66">
        <f t="shared" si="4"/>
        <v>0</v>
      </c>
      <c r="J184" s="66">
        <v>5200</v>
      </c>
    </row>
    <row r="185" spans="2:10" ht="57" customHeight="1" x14ac:dyDescent="0.2">
      <c r="B185" s="74" t="s">
        <v>1075</v>
      </c>
      <c r="C185" s="63" t="s">
        <v>458</v>
      </c>
      <c r="D185" s="63" t="s">
        <v>1034</v>
      </c>
      <c r="E185" s="63" t="s">
        <v>1041</v>
      </c>
      <c r="F185" s="63" t="s">
        <v>1073</v>
      </c>
      <c r="G185" s="63"/>
      <c r="H185" s="66">
        <f>H186</f>
        <v>145000</v>
      </c>
      <c r="I185" s="66">
        <f t="shared" si="4"/>
        <v>0</v>
      </c>
      <c r="J185" s="66">
        <f>J186</f>
        <v>145000</v>
      </c>
    </row>
    <row r="186" spans="2:10" ht="42" x14ac:dyDescent="0.2">
      <c r="B186" s="74" t="s">
        <v>1076</v>
      </c>
      <c r="C186" s="63" t="s">
        <v>458</v>
      </c>
      <c r="D186" s="63" t="s">
        <v>1034</v>
      </c>
      <c r="E186" s="63" t="s">
        <v>1041</v>
      </c>
      <c r="F186" s="63" t="s">
        <v>1074</v>
      </c>
      <c r="G186" s="63"/>
      <c r="H186" s="66">
        <f>H187</f>
        <v>145000</v>
      </c>
      <c r="I186" s="66">
        <f t="shared" si="4"/>
        <v>0</v>
      </c>
      <c r="J186" s="66">
        <f>J187</f>
        <v>145000</v>
      </c>
    </row>
    <row r="187" spans="2:10" ht="21" x14ac:dyDescent="0.2">
      <c r="B187" s="74" t="s">
        <v>434</v>
      </c>
      <c r="C187" s="63" t="s">
        <v>458</v>
      </c>
      <c r="D187" s="63" t="s">
        <v>1034</v>
      </c>
      <c r="E187" s="63" t="s">
        <v>1041</v>
      </c>
      <c r="F187" s="63" t="s">
        <v>1074</v>
      </c>
      <c r="G187" s="63" t="s">
        <v>423</v>
      </c>
      <c r="H187" s="65">
        <v>145000</v>
      </c>
      <c r="I187" s="66">
        <f t="shared" si="4"/>
        <v>0</v>
      </c>
      <c r="J187" s="65">
        <v>145000</v>
      </c>
    </row>
    <row r="188" spans="2:10" ht="115.5" x14ac:dyDescent="0.2">
      <c r="B188" s="74" t="s">
        <v>1090</v>
      </c>
      <c r="C188" s="63" t="s">
        <v>458</v>
      </c>
      <c r="D188" s="63" t="s">
        <v>1034</v>
      </c>
      <c r="E188" s="63" t="s">
        <v>1041</v>
      </c>
      <c r="F188" s="63" t="s">
        <v>1091</v>
      </c>
      <c r="G188" s="63"/>
      <c r="H188" s="65">
        <f>H189</f>
        <v>500600</v>
      </c>
      <c r="I188" s="66">
        <f t="shared" si="4"/>
        <v>0</v>
      </c>
      <c r="J188" s="65">
        <f>J189</f>
        <v>500600</v>
      </c>
    </row>
    <row r="189" spans="2:10" ht="21" x14ac:dyDescent="0.2">
      <c r="B189" s="74" t="s">
        <v>434</v>
      </c>
      <c r="C189" s="63" t="s">
        <v>458</v>
      </c>
      <c r="D189" s="63" t="s">
        <v>1034</v>
      </c>
      <c r="E189" s="63" t="s">
        <v>1041</v>
      </c>
      <c r="F189" s="63" t="s">
        <v>1091</v>
      </c>
      <c r="G189" s="63">
        <v>244</v>
      </c>
      <c r="H189" s="67">
        <v>500600</v>
      </c>
      <c r="I189" s="66">
        <f t="shared" si="4"/>
        <v>0</v>
      </c>
      <c r="J189" s="67">
        <v>500600</v>
      </c>
    </row>
    <row r="190" spans="2:10" x14ac:dyDescent="0.2">
      <c r="B190" s="74" t="s">
        <v>960</v>
      </c>
      <c r="C190" s="63" t="s">
        <v>458</v>
      </c>
      <c r="D190" s="63" t="s">
        <v>1034</v>
      </c>
      <c r="E190" s="63" t="s">
        <v>1039</v>
      </c>
      <c r="F190" s="63"/>
      <c r="G190" s="63"/>
      <c r="H190" s="67">
        <f>H191</f>
        <v>7038900</v>
      </c>
      <c r="I190" s="66">
        <f t="shared" si="4"/>
        <v>0</v>
      </c>
      <c r="J190" s="67">
        <f>J191</f>
        <v>7038900</v>
      </c>
    </row>
    <row r="191" spans="2:10" ht="42" x14ac:dyDescent="0.2">
      <c r="B191" s="74" t="s">
        <v>962</v>
      </c>
      <c r="C191" s="63" t="s">
        <v>458</v>
      </c>
      <c r="D191" s="63" t="s">
        <v>1034</v>
      </c>
      <c r="E191" s="63" t="s">
        <v>1039</v>
      </c>
      <c r="F191" s="63" t="s">
        <v>961</v>
      </c>
      <c r="G191" s="63"/>
      <c r="H191" s="67">
        <f>H192+H193</f>
        <v>7038900</v>
      </c>
      <c r="I191" s="66">
        <f t="shared" si="4"/>
        <v>0</v>
      </c>
      <c r="J191" s="67">
        <f>J192+J193</f>
        <v>7038900</v>
      </c>
    </row>
    <row r="192" spans="2:10" ht="21" x14ac:dyDescent="0.2">
      <c r="B192" s="74" t="s">
        <v>434</v>
      </c>
      <c r="C192" s="63" t="s">
        <v>458</v>
      </c>
      <c r="D192" s="63" t="s">
        <v>1034</v>
      </c>
      <c r="E192" s="63" t="s">
        <v>1039</v>
      </c>
      <c r="F192" s="63" t="s">
        <v>961</v>
      </c>
      <c r="G192" s="63">
        <v>244</v>
      </c>
      <c r="H192" s="67">
        <f>4538900-1361670+1361670+2500000</f>
        <v>7038900</v>
      </c>
      <c r="I192" s="66">
        <f t="shared" si="4"/>
        <v>0</v>
      </c>
      <c r="J192" s="67">
        <f>4538900-1361670+1361670+2500000</f>
        <v>7038900</v>
      </c>
    </row>
    <row r="193" spans="2:10" ht="31.5" hidden="1" x14ac:dyDescent="0.2">
      <c r="B193" s="74" t="s">
        <v>250</v>
      </c>
      <c r="C193" s="63" t="s">
        <v>458</v>
      </c>
      <c r="D193" s="63" t="s">
        <v>1034</v>
      </c>
      <c r="E193" s="63" t="s">
        <v>1039</v>
      </c>
      <c r="F193" s="63" t="s">
        <v>961</v>
      </c>
      <c r="G193" s="63" t="s">
        <v>248</v>
      </c>
      <c r="H193" s="67">
        <f>3861670-3861670</f>
        <v>0</v>
      </c>
      <c r="I193" s="66">
        <f t="shared" si="4"/>
        <v>0</v>
      </c>
      <c r="J193" s="67">
        <f>3861670-3861670</f>
        <v>0</v>
      </c>
    </row>
    <row r="194" spans="2:10" x14ac:dyDescent="0.2">
      <c r="B194" s="74" t="s">
        <v>520</v>
      </c>
      <c r="C194" s="63" t="s">
        <v>458</v>
      </c>
      <c r="D194" s="63" t="s">
        <v>1034</v>
      </c>
      <c r="E194" s="63" t="s">
        <v>1042</v>
      </c>
      <c r="F194" s="63"/>
      <c r="G194" s="63"/>
      <c r="H194" s="66">
        <f>H196+H203+H206+H198+H201</f>
        <v>640616</v>
      </c>
      <c r="I194" s="66">
        <f t="shared" si="4"/>
        <v>99000</v>
      </c>
      <c r="J194" s="66">
        <f>J196+J203+J206+J198+J201</f>
        <v>739616</v>
      </c>
    </row>
    <row r="195" spans="2:10" ht="52.5" x14ac:dyDescent="0.2">
      <c r="B195" s="74" t="s">
        <v>987</v>
      </c>
      <c r="C195" s="63" t="s">
        <v>458</v>
      </c>
      <c r="D195" s="63" t="s">
        <v>1034</v>
      </c>
      <c r="E195" s="63" t="s">
        <v>1042</v>
      </c>
      <c r="F195" s="63" t="s">
        <v>984</v>
      </c>
      <c r="G195" s="63"/>
      <c r="H195" s="66">
        <f>H196+H198</f>
        <v>350000</v>
      </c>
      <c r="I195" s="66">
        <f t="shared" si="4"/>
        <v>0</v>
      </c>
      <c r="J195" s="66">
        <f>J196+J198</f>
        <v>350000</v>
      </c>
    </row>
    <row r="196" spans="2:10" ht="66.75" customHeight="1" x14ac:dyDescent="0.2">
      <c r="B196" s="74" t="s">
        <v>1079</v>
      </c>
      <c r="C196" s="63" t="s">
        <v>458</v>
      </c>
      <c r="D196" s="63" t="s">
        <v>1034</v>
      </c>
      <c r="E196" s="63" t="s">
        <v>1042</v>
      </c>
      <c r="F196" s="63" t="s">
        <v>985</v>
      </c>
      <c r="G196" s="63"/>
      <c r="H196" s="66">
        <f>H197</f>
        <v>300000</v>
      </c>
      <c r="I196" s="66">
        <f t="shared" si="4"/>
        <v>0</v>
      </c>
      <c r="J196" s="66">
        <f>J197</f>
        <v>300000</v>
      </c>
    </row>
    <row r="197" spans="2:10" ht="31.5" x14ac:dyDescent="0.2">
      <c r="B197" s="74" t="s">
        <v>250</v>
      </c>
      <c r="C197" s="63" t="s">
        <v>458</v>
      </c>
      <c r="D197" s="63" t="s">
        <v>1034</v>
      </c>
      <c r="E197" s="63" t="s">
        <v>1042</v>
      </c>
      <c r="F197" s="63" t="s">
        <v>985</v>
      </c>
      <c r="G197" s="63">
        <v>810</v>
      </c>
      <c r="H197" s="66">
        <v>300000</v>
      </c>
      <c r="I197" s="66">
        <f t="shared" si="4"/>
        <v>0</v>
      </c>
      <c r="J197" s="66">
        <v>300000</v>
      </c>
    </row>
    <row r="198" spans="2:10" ht="66.75" customHeight="1" x14ac:dyDescent="0.2">
      <c r="B198" s="74" t="s">
        <v>1080</v>
      </c>
      <c r="C198" s="63" t="s">
        <v>458</v>
      </c>
      <c r="D198" s="63" t="s">
        <v>1034</v>
      </c>
      <c r="E198" s="63" t="s">
        <v>1042</v>
      </c>
      <c r="F198" s="63" t="s">
        <v>986</v>
      </c>
      <c r="G198" s="63"/>
      <c r="H198" s="66">
        <f>H199</f>
        <v>50000</v>
      </c>
      <c r="I198" s="66">
        <f t="shared" si="4"/>
        <v>0</v>
      </c>
      <c r="J198" s="66">
        <f>J199</f>
        <v>50000</v>
      </c>
    </row>
    <row r="199" spans="2:10" ht="21" x14ac:dyDescent="0.2">
      <c r="B199" s="74" t="s">
        <v>434</v>
      </c>
      <c r="C199" s="63" t="s">
        <v>458</v>
      </c>
      <c r="D199" s="63" t="s">
        <v>1034</v>
      </c>
      <c r="E199" s="63" t="s">
        <v>1042</v>
      </c>
      <c r="F199" s="63" t="s">
        <v>986</v>
      </c>
      <c r="G199" s="63">
        <v>244</v>
      </c>
      <c r="H199" s="66">
        <v>50000</v>
      </c>
      <c r="I199" s="66">
        <f t="shared" si="4"/>
        <v>0</v>
      </c>
      <c r="J199" s="66">
        <v>50000</v>
      </c>
    </row>
    <row r="200" spans="2:10" ht="56.25" customHeight="1" x14ac:dyDescent="0.2">
      <c r="B200" s="74" t="s">
        <v>1021</v>
      </c>
      <c r="C200" s="63" t="s">
        <v>458</v>
      </c>
      <c r="D200" s="63" t="s">
        <v>1034</v>
      </c>
      <c r="E200" s="63" t="s">
        <v>1042</v>
      </c>
      <c r="F200" s="63" t="s">
        <v>806</v>
      </c>
      <c r="G200" s="63"/>
      <c r="H200" s="66">
        <f>H203+H206+H201</f>
        <v>290616</v>
      </c>
      <c r="I200" s="66">
        <f t="shared" si="4"/>
        <v>99000</v>
      </c>
      <c r="J200" s="66">
        <f>J203+J206+J201</f>
        <v>389616</v>
      </c>
    </row>
    <row r="201" spans="2:10" ht="47.25" customHeight="1" x14ac:dyDescent="0.2">
      <c r="B201" s="74" t="s">
        <v>1194</v>
      </c>
      <c r="C201" s="63" t="s">
        <v>458</v>
      </c>
      <c r="D201" s="63" t="s">
        <v>1034</v>
      </c>
      <c r="E201" s="63" t="s">
        <v>1042</v>
      </c>
      <c r="F201" s="63" t="s">
        <v>707</v>
      </c>
      <c r="G201" s="63"/>
      <c r="H201" s="66">
        <f>H202</f>
        <v>260616</v>
      </c>
      <c r="I201" s="66">
        <f t="shared" si="4"/>
        <v>-8435</v>
      </c>
      <c r="J201" s="66">
        <f>J202</f>
        <v>252181</v>
      </c>
    </row>
    <row r="202" spans="2:10" ht="21" x14ac:dyDescent="0.2">
      <c r="B202" s="74" t="s">
        <v>434</v>
      </c>
      <c r="C202" s="63" t="s">
        <v>458</v>
      </c>
      <c r="D202" s="63" t="s">
        <v>1034</v>
      </c>
      <c r="E202" s="63" t="s">
        <v>1042</v>
      </c>
      <c r="F202" s="63" t="s">
        <v>707</v>
      </c>
      <c r="G202" s="63">
        <v>244</v>
      </c>
      <c r="H202" s="66">
        <v>260616</v>
      </c>
      <c r="I202" s="66">
        <f t="shared" si="4"/>
        <v>-8435</v>
      </c>
      <c r="J202" s="66">
        <v>252181</v>
      </c>
    </row>
    <row r="203" spans="2:10" ht="52.5" x14ac:dyDescent="0.2">
      <c r="B203" s="74" t="s">
        <v>1166</v>
      </c>
      <c r="C203" s="63" t="s">
        <v>458</v>
      </c>
      <c r="D203" s="63" t="s">
        <v>1034</v>
      </c>
      <c r="E203" s="63" t="s">
        <v>1042</v>
      </c>
      <c r="F203" s="63" t="s">
        <v>708</v>
      </c>
      <c r="G203" s="63"/>
      <c r="H203" s="66">
        <f>H204+H205</f>
        <v>30000</v>
      </c>
      <c r="I203" s="66">
        <f t="shared" si="4"/>
        <v>0</v>
      </c>
      <c r="J203" s="66">
        <f>J204+J205</f>
        <v>30000</v>
      </c>
    </row>
    <row r="204" spans="2:10" ht="21" hidden="1" x14ac:dyDescent="0.2">
      <c r="B204" s="74" t="s">
        <v>433</v>
      </c>
      <c r="C204" s="63" t="s">
        <v>458</v>
      </c>
      <c r="D204" s="63" t="s">
        <v>1034</v>
      </c>
      <c r="E204" s="63" t="s">
        <v>1042</v>
      </c>
      <c r="F204" s="63" t="s">
        <v>708</v>
      </c>
      <c r="G204" s="63" t="s">
        <v>427</v>
      </c>
      <c r="H204" s="66">
        <v>0</v>
      </c>
      <c r="I204" s="66">
        <f t="shared" si="4"/>
        <v>0</v>
      </c>
      <c r="J204" s="66">
        <v>0</v>
      </c>
    </row>
    <row r="205" spans="2:10" ht="21" x14ac:dyDescent="0.2">
      <c r="B205" s="74" t="s">
        <v>434</v>
      </c>
      <c r="C205" s="63" t="s">
        <v>458</v>
      </c>
      <c r="D205" s="63" t="s">
        <v>1034</v>
      </c>
      <c r="E205" s="63" t="s">
        <v>1042</v>
      </c>
      <c r="F205" s="63" t="s">
        <v>708</v>
      </c>
      <c r="G205" s="63" t="s">
        <v>427</v>
      </c>
      <c r="H205" s="66">
        <v>30000</v>
      </c>
      <c r="I205" s="66">
        <f t="shared" si="4"/>
        <v>0</v>
      </c>
      <c r="J205" s="66">
        <v>30000</v>
      </c>
    </row>
    <row r="206" spans="2:10" ht="84" x14ac:dyDescent="0.2">
      <c r="B206" s="74" t="s">
        <v>1132</v>
      </c>
      <c r="C206" s="63" t="s">
        <v>458</v>
      </c>
      <c r="D206" s="63" t="s">
        <v>1034</v>
      </c>
      <c r="E206" s="63" t="s">
        <v>1042</v>
      </c>
      <c r="F206" s="63" t="s">
        <v>1131</v>
      </c>
      <c r="G206" s="63"/>
      <c r="H206" s="66">
        <f>H208+H207</f>
        <v>0</v>
      </c>
      <c r="I206" s="66">
        <f t="shared" si="4"/>
        <v>107435</v>
      </c>
      <c r="J206" s="66">
        <f>J208+J207</f>
        <v>107435</v>
      </c>
    </row>
    <row r="207" spans="2:10" ht="21" x14ac:dyDescent="0.2">
      <c r="B207" s="74" t="s">
        <v>433</v>
      </c>
      <c r="C207" s="63" t="s">
        <v>458</v>
      </c>
      <c r="D207" s="63" t="s">
        <v>1034</v>
      </c>
      <c r="E207" s="63" t="s">
        <v>1042</v>
      </c>
      <c r="F207" s="63" t="s">
        <v>1131</v>
      </c>
      <c r="G207" s="63" t="s">
        <v>423</v>
      </c>
      <c r="H207" s="66">
        <v>0</v>
      </c>
      <c r="I207" s="66">
        <f t="shared" si="4"/>
        <v>107435</v>
      </c>
      <c r="J207" s="66">
        <v>107435</v>
      </c>
    </row>
    <row r="208" spans="2:10" ht="21" hidden="1" x14ac:dyDescent="0.2">
      <c r="B208" s="74" t="s">
        <v>434</v>
      </c>
      <c r="C208" s="63" t="s">
        <v>458</v>
      </c>
      <c r="D208" s="63" t="s">
        <v>1034</v>
      </c>
      <c r="E208" s="63" t="s">
        <v>1042</v>
      </c>
      <c r="F208" s="63" t="s">
        <v>708</v>
      </c>
      <c r="G208" s="63" t="s">
        <v>423</v>
      </c>
      <c r="H208" s="66">
        <v>0</v>
      </c>
      <c r="I208" s="66">
        <f t="shared" si="4"/>
        <v>0</v>
      </c>
      <c r="J208" s="66">
        <v>0</v>
      </c>
    </row>
    <row r="209" spans="2:10" hidden="1" x14ac:dyDescent="0.2">
      <c r="B209" s="74" t="s">
        <v>88</v>
      </c>
      <c r="C209" s="63" t="s">
        <v>458</v>
      </c>
      <c r="D209" s="63" t="s">
        <v>1034</v>
      </c>
      <c r="E209" s="63" t="s">
        <v>1042</v>
      </c>
      <c r="F209" s="63"/>
      <c r="G209" s="63"/>
      <c r="H209" s="65">
        <f>H211</f>
        <v>0</v>
      </c>
      <c r="I209" s="66">
        <f t="shared" si="4"/>
        <v>0</v>
      </c>
      <c r="J209" s="65">
        <f>J211</f>
        <v>0</v>
      </c>
    </row>
    <row r="210" spans="2:10" ht="52.5" hidden="1" x14ac:dyDescent="0.2">
      <c r="B210" s="74" t="s">
        <v>1082</v>
      </c>
      <c r="C210" s="63" t="s">
        <v>458</v>
      </c>
      <c r="D210" s="63" t="s">
        <v>1034</v>
      </c>
      <c r="E210" s="63" t="s">
        <v>1042</v>
      </c>
      <c r="F210" s="63" t="s">
        <v>807</v>
      </c>
      <c r="G210" s="63"/>
      <c r="H210" s="65">
        <f t="shared" ref="H210:J211" si="6">H211</f>
        <v>0</v>
      </c>
      <c r="I210" s="66">
        <f t="shared" si="4"/>
        <v>0</v>
      </c>
      <c r="J210" s="65">
        <f t="shared" si="6"/>
        <v>0</v>
      </c>
    </row>
    <row r="211" spans="2:10" hidden="1" x14ac:dyDescent="0.2">
      <c r="B211" s="74"/>
      <c r="C211" s="63" t="s">
        <v>458</v>
      </c>
      <c r="D211" s="63" t="s">
        <v>1034</v>
      </c>
      <c r="E211" s="63" t="s">
        <v>1042</v>
      </c>
      <c r="F211" s="63" t="s">
        <v>702</v>
      </c>
      <c r="G211" s="63"/>
      <c r="H211" s="65">
        <f t="shared" si="6"/>
        <v>0</v>
      </c>
      <c r="I211" s="66">
        <f t="shared" si="4"/>
        <v>0</v>
      </c>
      <c r="J211" s="65">
        <f t="shared" si="6"/>
        <v>0</v>
      </c>
    </row>
    <row r="212" spans="2:10" ht="31.5" hidden="1" x14ac:dyDescent="0.2">
      <c r="B212" s="74" t="s">
        <v>675</v>
      </c>
      <c r="C212" s="63" t="s">
        <v>458</v>
      </c>
      <c r="D212" s="63" t="s">
        <v>1034</v>
      </c>
      <c r="E212" s="63" t="s">
        <v>1042</v>
      </c>
      <c r="F212" s="63" t="s">
        <v>702</v>
      </c>
      <c r="G212" s="63" t="s">
        <v>674</v>
      </c>
      <c r="H212" s="65">
        <v>0</v>
      </c>
      <c r="I212" s="66">
        <f t="shared" si="4"/>
        <v>0</v>
      </c>
      <c r="J212" s="65">
        <v>0</v>
      </c>
    </row>
    <row r="213" spans="2:10" x14ac:dyDescent="0.2">
      <c r="B213" s="74" t="s">
        <v>627</v>
      </c>
      <c r="C213" s="63" t="s">
        <v>458</v>
      </c>
      <c r="D213" s="63" t="s">
        <v>1041</v>
      </c>
      <c r="E213" s="63" t="s">
        <v>1032</v>
      </c>
      <c r="F213" s="63"/>
      <c r="G213" s="63"/>
      <c r="H213" s="65">
        <f>H229+H233+H215+H224+H226+H217+H221+H231+H219</f>
        <v>7484140</v>
      </c>
      <c r="I213" s="66">
        <f t="shared" si="4"/>
        <v>2069000</v>
      </c>
      <c r="J213" s="65">
        <f>J229+J233+J215+J224+J226+J217+J221+J231+J219</f>
        <v>9553140</v>
      </c>
    </row>
    <row r="214" spans="2:10" ht="52.5" x14ac:dyDescent="0.2">
      <c r="B214" s="74" t="s">
        <v>1077</v>
      </c>
      <c r="C214" s="63" t="s">
        <v>458</v>
      </c>
      <c r="D214" s="63" t="s">
        <v>1041</v>
      </c>
      <c r="E214" s="63" t="s">
        <v>1032</v>
      </c>
      <c r="F214" s="63" t="s">
        <v>810</v>
      </c>
      <c r="G214" s="63"/>
      <c r="H214" s="65">
        <f>H215+H217</f>
        <v>4200000</v>
      </c>
      <c r="I214" s="66">
        <f t="shared" ref="I214:I277" si="7">J214-H214</f>
        <v>0</v>
      </c>
      <c r="J214" s="65">
        <f>J215+J217</f>
        <v>4200000</v>
      </c>
    </row>
    <row r="215" spans="2:10" ht="42" x14ac:dyDescent="0.2">
      <c r="B215" s="74" t="s">
        <v>1078</v>
      </c>
      <c r="C215" s="63" t="s">
        <v>458</v>
      </c>
      <c r="D215" s="63" t="s">
        <v>1041</v>
      </c>
      <c r="E215" s="63" t="s">
        <v>1032</v>
      </c>
      <c r="F215" s="63" t="s">
        <v>764</v>
      </c>
      <c r="G215" s="63"/>
      <c r="H215" s="65">
        <f>H216</f>
        <v>1000000</v>
      </c>
      <c r="I215" s="66">
        <f t="shared" si="7"/>
        <v>0</v>
      </c>
      <c r="J215" s="65">
        <f>J216</f>
        <v>1000000</v>
      </c>
    </row>
    <row r="216" spans="2:10" ht="31.5" x14ac:dyDescent="0.2">
      <c r="B216" s="74" t="s">
        <v>250</v>
      </c>
      <c r="C216" s="63" t="s">
        <v>458</v>
      </c>
      <c r="D216" s="63" t="s">
        <v>1041</v>
      </c>
      <c r="E216" s="63" t="s">
        <v>1032</v>
      </c>
      <c r="F216" s="63" t="s">
        <v>764</v>
      </c>
      <c r="G216" s="63" t="s">
        <v>248</v>
      </c>
      <c r="H216" s="65">
        <v>1000000</v>
      </c>
      <c r="I216" s="66">
        <f t="shared" si="7"/>
        <v>0</v>
      </c>
      <c r="J216" s="65">
        <v>1000000</v>
      </c>
    </row>
    <row r="217" spans="2:10" ht="42" x14ac:dyDescent="0.2">
      <c r="B217" s="74" t="s">
        <v>1083</v>
      </c>
      <c r="C217" s="63" t="s">
        <v>458</v>
      </c>
      <c r="D217" s="63" t="s">
        <v>1041</v>
      </c>
      <c r="E217" s="63" t="s">
        <v>1032</v>
      </c>
      <c r="F217" s="63" t="s">
        <v>963</v>
      </c>
      <c r="G217" s="63"/>
      <c r="H217" s="65">
        <f>H218</f>
        <v>3200000</v>
      </c>
      <c r="I217" s="66">
        <f t="shared" si="7"/>
        <v>0</v>
      </c>
      <c r="J217" s="65">
        <f>J218</f>
        <v>3200000</v>
      </c>
    </row>
    <row r="218" spans="2:10" ht="31.5" x14ac:dyDescent="0.2">
      <c r="B218" s="74" t="s">
        <v>250</v>
      </c>
      <c r="C218" s="63" t="s">
        <v>458</v>
      </c>
      <c r="D218" s="63" t="s">
        <v>1041</v>
      </c>
      <c r="E218" s="63" t="s">
        <v>1032</v>
      </c>
      <c r="F218" s="63" t="s">
        <v>963</v>
      </c>
      <c r="G218" s="63" t="s">
        <v>248</v>
      </c>
      <c r="H218" s="65">
        <v>3200000</v>
      </c>
      <c r="I218" s="66">
        <f t="shared" si="7"/>
        <v>0</v>
      </c>
      <c r="J218" s="65">
        <v>3200000</v>
      </c>
    </row>
    <row r="219" spans="2:10" ht="78.75" customHeight="1" x14ac:dyDescent="0.2">
      <c r="B219" s="74" t="s">
        <v>1219</v>
      </c>
      <c r="C219" s="63" t="s">
        <v>458</v>
      </c>
      <c r="D219" s="63" t="s">
        <v>1041</v>
      </c>
      <c r="E219" s="63" t="s">
        <v>1032</v>
      </c>
      <c r="F219" s="63" t="s">
        <v>1218</v>
      </c>
      <c r="G219" s="63"/>
      <c r="H219" s="65">
        <f>H220</f>
        <v>0</v>
      </c>
      <c r="I219" s="66">
        <f t="shared" si="7"/>
        <v>1350000</v>
      </c>
      <c r="J219" s="65">
        <f>J220</f>
        <v>1350000</v>
      </c>
    </row>
    <row r="220" spans="2:10" ht="33" customHeight="1" x14ac:dyDescent="0.2">
      <c r="B220" s="74" t="s">
        <v>250</v>
      </c>
      <c r="C220" s="63" t="s">
        <v>458</v>
      </c>
      <c r="D220" s="63" t="s">
        <v>1041</v>
      </c>
      <c r="E220" s="63" t="s">
        <v>1032</v>
      </c>
      <c r="F220" s="63" t="s">
        <v>1218</v>
      </c>
      <c r="G220" s="63" t="s">
        <v>248</v>
      </c>
      <c r="H220" s="65">
        <v>0</v>
      </c>
      <c r="I220" s="66">
        <f t="shared" si="7"/>
        <v>1350000</v>
      </c>
      <c r="J220" s="65">
        <v>1350000</v>
      </c>
    </row>
    <row r="221" spans="2:10" ht="63" x14ac:dyDescent="0.2">
      <c r="B221" s="107" t="s">
        <v>966</v>
      </c>
      <c r="C221" s="63" t="s">
        <v>458</v>
      </c>
      <c r="D221" s="63" t="s">
        <v>1041</v>
      </c>
      <c r="E221" s="63" t="s">
        <v>1032</v>
      </c>
      <c r="F221" s="63" t="s">
        <v>965</v>
      </c>
      <c r="G221" s="63"/>
      <c r="H221" s="65">
        <f>H222</f>
        <v>141600</v>
      </c>
      <c r="I221" s="66">
        <f t="shared" si="7"/>
        <v>0</v>
      </c>
      <c r="J221" s="65">
        <f>J222</f>
        <v>141600</v>
      </c>
    </row>
    <row r="222" spans="2:10" ht="31.5" x14ac:dyDescent="0.2">
      <c r="B222" s="74" t="s">
        <v>250</v>
      </c>
      <c r="C222" s="63" t="s">
        <v>458</v>
      </c>
      <c r="D222" s="63" t="s">
        <v>1041</v>
      </c>
      <c r="E222" s="63" t="s">
        <v>1032</v>
      </c>
      <c r="F222" s="63" t="s">
        <v>965</v>
      </c>
      <c r="G222" s="63" t="s">
        <v>248</v>
      </c>
      <c r="H222" s="65">
        <v>141600</v>
      </c>
      <c r="I222" s="66">
        <f t="shared" si="7"/>
        <v>0</v>
      </c>
      <c r="J222" s="65">
        <v>141600</v>
      </c>
    </row>
    <row r="223" spans="2:10" ht="63" x14ac:dyDescent="0.2">
      <c r="B223" s="74" t="s">
        <v>1081</v>
      </c>
      <c r="C223" s="63" t="s">
        <v>458</v>
      </c>
      <c r="D223" s="63" t="s">
        <v>1041</v>
      </c>
      <c r="E223" s="63" t="s">
        <v>1032</v>
      </c>
      <c r="F223" s="63" t="s">
        <v>813</v>
      </c>
      <c r="G223" s="63"/>
      <c r="H223" s="65">
        <f>H224+H226</f>
        <v>350000</v>
      </c>
      <c r="I223" s="66">
        <f t="shared" si="7"/>
        <v>0</v>
      </c>
      <c r="J223" s="65">
        <f>J224+J226</f>
        <v>350000</v>
      </c>
    </row>
    <row r="224" spans="2:10" ht="73.5" hidden="1" x14ac:dyDescent="0.2">
      <c r="B224" s="74" t="s">
        <v>1084</v>
      </c>
      <c r="C224" s="63" t="s">
        <v>458</v>
      </c>
      <c r="D224" s="63" t="s">
        <v>1041</v>
      </c>
      <c r="E224" s="63" t="s">
        <v>1032</v>
      </c>
      <c r="F224" s="63" t="s">
        <v>743</v>
      </c>
      <c r="G224" s="63"/>
      <c r="H224" s="65">
        <f>H225</f>
        <v>0</v>
      </c>
      <c r="I224" s="66">
        <f t="shared" si="7"/>
        <v>0</v>
      </c>
      <c r="J224" s="65">
        <f>J225</f>
        <v>0</v>
      </c>
    </row>
    <row r="225" spans="2:10" ht="31.5" hidden="1" x14ac:dyDescent="0.2">
      <c r="B225" s="74" t="s">
        <v>250</v>
      </c>
      <c r="C225" s="63" t="s">
        <v>458</v>
      </c>
      <c r="D225" s="63" t="s">
        <v>1041</v>
      </c>
      <c r="E225" s="63" t="s">
        <v>1032</v>
      </c>
      <c r="F225" s="63" t="s">
        <v>743</v>
      </c>
      <c r="G225" s="63" t="s">
        <v>248</v>
      </c>
      <c r="H225" s="65">
        <v>0</v>
      </c>
      <c r="I225" s="66">
        <f t="shared" si="7"/>
        <v>0</v>
      </c>
      <c r="J225" s="65">
        <v>0</v>
      </c>
    </row>
    <row r="226" spans="2:10" ht="63" x14ac:dyDescent="0.2">
      <c r="B226" s="107" t="s">
        <v>1138</v>
      </c>
      <c r="C226" s="63" t="s">
        <v>458</v>
      </c>
      <c r="D226" s="63" t="s">
        <v>1041</v>
      </c>
      <c r="E226" s="63" t="s">
        <v>1032</v>
      </c>
      <c r="F226" s="63" t="s">
        <v>815</v>
      </c>
      <c r="G226" s="63"/>
      <c r="H226" s="65">
        <f>H227</f>
        <v>350000</v>
      </c>
      <c r="I226" s="66">
        <f t="shared" si="7"/>
        <v>0</v>
      </c>
      <c r="J226" s="65">
        <f>J227</f>
        <v>350000</v>
      </c>
    </row>
    <row r="227" spans="2:10" ht="31.5" x14ac:dyDescent="0.2">
      <c r="B227" s="74" t="s">
        <v>250</v>
      </c>
      <c r="C227" s="63" t="s">
        <v>458</v>
      </c>
      <c r="D227" s="63" t="s">
        <v>1041</v>
      </c>
      <c r="E227" s="63" t="s">
        <v>1032</v>
      </c>
      <c r="F227" s="63" t="s">
        <v>815</v>
      </c>
      <c r="G227" s="63" t="s">
        <v>248</v>
      </c>
      <c r="H227" s="65">
        <v>350000</v>
      </c>
      <c r="I227" s="66">
        <f t="shared" si="7"/>
        <v>0</v>
      </c>
      <c r="J227" s="65">
        <v>350000</v>
      </c>
    </row>
    <row r="228" spans="2:10" ht="42" x14ac:dyDescent="0.2">
      <c r="B228" s="74" t="s">
        <v>1085</v>
      </c>
      <c r="C228" s="63" t="s">
        <v>458</v>
      </c>
      <c r="D228" s="63" t="s">
        <v>1041</v>
      </c>
      <c r="E228" s="63" t="s">
        <v>1032</v>
      </c>
      <c r="F228" s="63" t="s">
        <v>816</v>
      </c>
      <c r="G228" s="63"/>
      <c r="H228" s="65">
        <f>H229+H231</f>
        <v>2792540</v>
      </c>
      <c r="I228" s="66">
        <f t="shared" si="7"/>
        <v>-13800</v>
      </c>
      <c r="J228" s="65">
        <f>J229+J231</f>
        <v>2778740</v>
      </c>
    </row>
    <row r="229" spans="2:10" ht="52.5" x14ac:dyDescent="0.2">
      <c r="B229" s="74" t="s">
        <v>1086</v>
      </c>
      <c r="C229" s="63" t="s">
        <v>458</v>
      </c>
      <c r="D229" s="63" t="s">
        <v>1041</v>
      </c>
      <c r="E229" s="63" t="s">
        <v>1032</v>
      </c>
      <c r="F229" s="63" t="s">
        <v>709</v>
      </c>
      <c r="G229" s="63"/>
      <c r="H229" s="65">
        <f>H230</f>
        <v>1408740</v>
      </c>
      <c r="I229" s="66">
        <f t="shared" si="7"/>
        <v>0</v>
      </c>
      <c r="J229" s="65">
        <f>J230</f>
        <v>1408740</v>
      </c>
    </row>
    <row r="230" spans="2:10" ht="31.5" x14ac:dyDescent="0.2">
      <c r="B230" s="74" t="s">
        <v>968</v>
      </c>
      <c r="C230" s="63" t="s">
        <v>458</v>
      </c>
      <c r="D230" s="63" t="s">
        <v>1041</v>
      </c>
      <c r="E230" s="63" t="s">
        <v>1032</v>
      </c>
      <c r="F230" s="63" t="s">
        <v>709</v>
      </c>
      <c r="G230" s="63" t="s">
        <v>967</v>
      </c>
      <c r="H230" s="65">
        <v>1408740</v>
      </c>
      <c r="I230" s="66">
        <f t="shared" si="7"/>
        <v>0</v>
      </c>
      <c r="J230" s="65">
        <v>1408740</v>
      </c>
    </row>
    <row r="231" spans="2:10" ht="52.5" x14ac:dyDescent="0.2">
      <c r="B231" s="74" t="s">
        <v>1087</v>
      </c>
      <c r="C231" s="63" t="s">
        <v>458</v>
      </c>
      <c r="D231" s="63" t="s">
        <v>1041</v>
      </c>
      <c r="E231" s="63" t="s">
        <v>1032</v>
      </c>
      <c r="F231" s="63" t="s">
        <v>969</v>
      </c>
      <c r="G231" s="63"/>
      <c r="H231" s="65">
        <f>H232</f>
        <v>1383800</v>
      </c>
      <c r="I231" s="66">
        <f t="shared" si="7"/>
        <v>-13800</v>
      </c>
      <c r="J231" s="65">
        <f>J232</f>
        <v>1370000</v>
      </c>
    </row>
    <row r="232" spans="2:10" ht="31.5" x14ac:dyDescent="0.2">
      <c r="B232" s="74" t="s">
        <v>968</v>
      </c>
      <c r="C232" s="63" t="s">
        <v>458</v>
      </c>
      <c r="D232" s="63" t="s">
        <v>1041</v>
      </c>
      <c r="E232" s="63" t="s">
        <v>1032</v>
      </c>
      <c r="F232" s="63" t="s">
        <v>969</v>
      </c>
      <c r="G232" s="63" t="s">
        <v>967</v>
      </c>
      <c r="H232" s="65">
        <v>1383800</v>
      </c>
      <c r="I232" s="66">
        <f t="shared" si="7"/>
        <v>-13800</v>
      </c>
      <c r="J232" s="65">
        <v>1370000</v>
      </c>
    </row>
    <row r="233" spans="2:10" ht="60.75" customHeight="1" x14ac:dyDescent="0.2">
      <c r="B233" s="74" t="s">
        <v>1221</v>
      </c>
      <c r="C233" s="63" t="s">
        <v>458</v>
      </c>
      <c r="D233" s="63" t="s">
        <v>1041</v>
      </c>
      <c r="E233" s="63" t="s">
        <v>1032</v>
      </c>
      <c r="F233" s="63" t="s">
        <v>1220</v>
      </c>
      <c r="G233" s="63"/>
      <c r="H233" s="65">
        <f>H234</f>
        <v>0</v>
      </c>
      <c r="I233" s="66">
        <f t="shared" si="7"/>
        <v>732800</v>
      </c>
      <c r="J233" s="65">
        <f>J234</f>
        <v>732800</v>
      </c>
    </row>
    <row r="234" spans="2:10" ht="31.5" x14ac:dyDescent="0.2">
      <c r="B234" s="74" t="s">
        <v>968</v>
      </c>
      <c r="C234" s="63" t="s">
        <v>458</v>
      </c>
      <c r="D234" s="63" t="s">
        <v>1041</v>
      </c>
      <c r="E234" s="63" t="s">
        <v>1032</v>
      </c>
      <c r="F234" s="63" t="s">
        <v>1220</v>
      </c>
      <c r="G234" s="63" t="s">
        <v>967</v>
      </c>
      <c r="H234" s="65">
        <v>0</v>
      </c>
      <c r="I234" s="66">
        <f t="shared" si="7"/>
        <v>732800</v>
      </c>
      <c r="J234" s="65">
        <v>732800</v>
      </c>
    </row>
    <row r="235" spans="2:10" x14ac:dyDescent="0.2">
      <c r="B235" s="74" t="s">
        <v>634</v>
      </c>
      <c r="C235" s="63" t="s">
        <v>458</v>
      </c>
      <c r="D235" s="63" t="s">
        <v>1041</v>
      </c>
      <c r="E235" s="63" t="s">
        <v>1033</v>
      </c>
      <c r="F235" s="63"/>
      <c r="G235" s="63"/>
      <c r="H235" s="65">
        <f>H236</f>
        <v>168300</v>
      </c>
      <c r="I235" s="66">
        <f t="shared" si="7"/>
        <v>0</v>
      </c>
      <c r="J235" s="65">
        <f>J236</f>
        <v>168300</v>
      </c>
    </row>
    <row r="236" spans="2:10" ht="75.75" customHeight="1" x14ac:dyDescent="0.2">
      <c r="B236" s="74" t="s">
        <v>1089</v>
      </c>
      <c r="C236" s="63" t="s">
        <v>458</v>
      </c>
      <c r="D236" s="63" t="s">
        <v>1041</v>
      </c>
      <c r="E236" s="63" t="s">
        <v>1033</v>
      </c>
      <c r="F236" s="63" t="s">
        <v>1088</v>
      </c>
      <c r="G236" s="63"/>
      <c r="H236" s="65">
        <f>H237</f>
        <v>168300</v>
      </c>
      <c r="I236" s="66">
        <f t="shared" si="7"/>
        <v>0</v>
      </c>
      <c r="J236" s="65">
        <f>J237</f>
        <v>168300</v>
      </c>
    </row>
    <row r="237" spans="2:10" ht="21" x14ac:dyDescent="0.2">
      <c r="B237" s="74" t="s">
        <v>434</v>
      </c>
      <c r="C237" s="63" t="s">
        <v>458</v>
      </c>
      <c r="D237" s="63" t="s">
        <v>1041</v>
      </c>
      <c r="E237" s="63" t="s">
        <v>1033</v>
      </c>
      <c r="F237" s="63" t="s">
        <v>1088</v>
      </c>
      <c r="G237" s="63" t="s">
        <v>423</v>
      </c>
      <c r="H237" s="65">
        <v>168300</v>
      </c>
      <c r="I237" s="66">
        <f t="shared" si="7"/>
        <v>0</v>
      </c>
      <c r="J237" s="65">
        <v>168300</v>
      </c>
    </row>
    <row r="238" spans="2:10" x14ac:dyDescent="0.2">
      <c r="B238" s="74" t="s">
        <v>414</v>
      </c>
      <c r="C238" s="63" t="s">
        <v>458</v>
      </c>
      <c r="D238" s="63" t="s">
        <v>1036</v>
      </c>
      <c r="E238" s="63" t="s">
        <v>1031</v>
      </c>
      <c r="F238" s="63"/>
      <c r="G238" s="63"/>
      <c r="H238" s="65">
        <f>H240+H243+H246+H248</f>
        <v>1700000</v>
      </c>
      <c r="I238" s="66">
        <f t="shared" si="7"/>
        <v>356732.5</v>
      </c>
      <c r="J238" s="65">
        <f>J240+J243+J246+J248</f>
        <v>2056732.5</v>
      </c>
    </row>
    <row r="239" spans="2:10" ht="63" x14ac:dyDescent="0.2">
      <c r="B239" s="74" t="s">
        <v>1141</v>
      </c>
      <c r="C239" s="63" t="s">
        <v>458</v>
      </c>
      <c r="D239" s="63" t="s">
        <v>1036</v>
      </c>
      <c r="E239" s="63" t="s">
        <v>1031</v>
      </c>
      <c r="F239" s="63" t="s">
        <v>782</v>
      </c>
      <c r="G239" s="63"/>
      <c r="H239" s="65">
        <f>H240+H243</f>
        <v>1700000</v>
      </c>
      <c r="I239" s="66">
        <f t="shared" si="7"/>
        <v>-8112.5</v>
      </c>
      <c r="J239" s="65">
        <f>J240+J243</f>
        <v>1691887.5</v>
      </c>
    </row>
    <row r="240" spans="2:10" ht="45.75" customHeight="1" x14ac:dyDescent="0.2">
      <c r="B240" s="74" t="s">
        <v>1142</v>
      </c>
      <c r="C240" s="63" t="s">
        <v>458</v>
      </c>
      <c r="D240" s="63" t="s">
        <v>1036</v>
      </c>
      <c r="E240" s="63" t="s">
        <v>1031</v>
      </c>
      <c r="F240" s="63" t="s">
        <v>820</v>
      </c>
      <c r="G240" s="63"/>
      <c r="H240" s="65">
        <f>H242+H241</f>
        <v>1080000</v>
      </c>
      <c r="I240" s="66">
        <f t="shared" si="7"/>
        <v>460452</v>
      </c>
      <c r="J240" s="65">
        <f>J242+J241</f>
        <v>1540452</v>
      </c>
    </row>
    <row r="241" spans="2:10" ht="21" x14ac:dyDescent="0.2">
      <c r="B241" s="74" t="s">
        <v>434</v>
      </c>
      <c r="C241" s="63" t="s">
        <v>458</v>
      </c>
      <c r="D241" s="63" t="s">
        <v>1036</v>
      </c>
      <c r="E241" s="63" t="s">
        <v>1031</v>
      </c>
      <c r="F241" s="63" t="s">
        <v>820</v>
      </c>
      <c r="G241" s="63" t="s">
        <v>423</v>
      </c>
      <c r="H241" s="66">
        <v>80000</v>
      </c>
      <c r="I241" s="66">
        <f t="shared" si="7"/>
        <v>460452</v>
      </c>
      <c r="J241" s="66">
        <v>540452</v>
      </c>
    </row>
    <row r="242" spans="2:10" ht="31.5" x14ac:dyDescent="0.2">
      <c r="B242" s="74" t="s">
        <v>968</v>
      </c>
      <c r="C242" s="63" t="s">
        <v>458</v>
      </c>
      <c r="D242" s="63" t="s">
        <v>1036</v>
      </c>
      <c r="E242" s="63" t="s">
        <v>1031</v>
      </c>
      <c r="F242" s="63" t="s">
        <v>820</v>
      </c>
      <c r="G242" s="63" t="s">
        <v>967</v>
      </c>
      <c r="H242" s="65">
        <v>1000000</v>
      </c>
      <c r="I242" s="66">
        <f t="shared" si="7"/>
        <v>0</v>
      </c>
      <c r="J242" s="65">
        <v>1000000</v>
      </c>
    </row>
    <row r="243" spans="2:10" ht="52.5" x14ac:dyDescent="0.2">
      <c r="B243" s="74" t="s">
        <v>1143</v>
      </c>
      <c r="C243" s="63" t="s">
        <v>458</v>
      </c>
      <c r="D243" s="63" t="s">
        <v>1036</v>
      </c>
      <c r="E243" s="63" t="s">
        <v>1031</v>
      </c>
      <c r="F243" s="63" t="s">
        <v>971</v>
      </c>
      <c r="G243" s="63"/>
      <c r="H243" s="65">
        <f>H244</f>
        <v>620000</v>
      </c>
      <c r="I243" s="66">
        <f t="shared" si="7"/>
        <v>-468564.5</v>
      </c>
      <c r="J243" s="65">
        <f>J244</f>
        <v>151435.5</v>
      </c>
    </row>
    <row r="244" spans="2:10" ht="21" x14ac:dyDescent="0.2">
      <c r="B244" s="74" t="s">
        <v>976</v>
      </c>
      <c r="C244" s="63" t="s">
        <v>458</v>
      </c>
      <c r="D244" s="63" t="s">
        <v>1036</v>
      </c>
      <c r="E244" s="63" t="s">
        <v>1031</v>
      </c>
      <c r="F244" s="63" t="s">
        <v>971</v>
      </c>
      <c r="G244" s="63" t="s">
        <v>975</v>
      </c>
      <c r="H244" s="65">
        <f>700000-80000</f>
        <v>620000</v>
      </c>
      <c r="I244" s="66">
        <f t="shared" si="7"/>
        <v>-468564.5</v>
      </c>
      <c r="J244" s="65">
        <v>151435.5</v>
      </c>
    </row>
    <row r="245" spans="2:10" ht="63" x14ac:dyDescent="0.2">
      <c r="B245" s="74" t="s">
        <v>1223</v>
      </c>
      <c r="C245" s="63" t="s">
        <v>458</v>
      </c>
      <c r="D245" s="63" t="s">
        <v>1036</v>
      </c>
      <c r="E245" s="63" t="s">
        <v>1031</v>
      </c>
      <c r="F245" s="63" t="s">
        <v>843</v>
      </c>
      <c r="G245" s="63"/>
      <c r="H245" s="65">
        <f>H246</f>
        <v>0</v>
      </c>
      <c r="I245" s="66">
        <f t="shared" si="7"/>
        <v>4145</v>
      </c>
      <c r="J245" s="65">
        <f>J246</f>
        <v>4145</v>
      </c>
    </row>
    <row r="246" spans="2:10" ht="52.5" x14ac:dyDescent="0.2">
      <c r="B246" s="74" t="s">
        <v>1222</v>
      </c>
      <c r="C246" s="63" t="s">
        <v>458</v>
      </c>
      <c r="D246" s="63" t="s">
        <v>1036</v>
      </c>
      <c r="E246" s="63" t="s">
        <v>1031</v>
      </c>
      <c r="F246" s="63" t="s">
        <v>766</v>
      </c>
      <c r="G246" s="63"/>
      <c r="H246" s="65">
        <f>H247</f>
        <v>0</v>
      </c>
      <c r="I246" s="66">
        <f t="shared" si="7"/>
        <v>4145</v>
      </c>
      <c r="J246" s="65">
        <f>J247</f>
        <v>4145</v>
      </c>
    </row>
    <row r="247" spans="2:10" ht="21" x14ac:dyDescent="0.2">
      <c r="B247" s="74" t="s">
        <v>976</v>
      </c>
      <c r="C247" s="63" t="s">
        <v>458</v>
      </c>
      <c r="D247" s="63" t="s">
        <v>1036</v>
      </c>
      <c r="E247" s="63" t="s">
        <v>1031</v>
      </c>
      <c r="F247" s="63" t="s">
        <v>766</v>
      </c>
      <c r="G247" s="63" t="s">
        <v>975</v>
      </c>
      <c r="H247" s="65">
        <v>0</v>
      </c>
      <c r="I247" s="66">
        <f t="shared" si="7"/>
        <v>4145</v>
      </c>
      <c r="J247" s="65">
        <v>4145</v>
      </c>
    </row>
    <row r="248" spans="2:10" ht="54" customHeight="1" x14ac:dyDescent="0.2">
      <c r="B248" s="74" t="s">
        <v>1227</v>
      </c>
      <c r="C248" s="63" t="s">
        <v>458</v>
      </c>
      <c r="D248" s="63" t="s">
        <v>1036</v>
      </c>
      <c r="E248" s="63" t="s">
        <v>1031</v>
      </c>
      <c r="F248" s="63" t="s">
        <v>1224</v>
      </c>
      <c r="G248" s="63"/>
      <c r="H248" s="65">
        <f>H249</f>
        <v>0</v>
      </c>
      <c r="I248" s="66">
        <f t="shared" si="7"/>
        <v>360700</v>
      </c>
      <c r="J248" s="65">
        <f>J249</f>
        <v>360700</v>
      </c>
    </row>
    <row r="249" spans="2:10" ht="21" x14ac:dyDescent="0.2">
      <c r="B249" s="74" t="s">
        <v>976</v>
      </c>
      <c r="C249" s="63" t="s">
        <v>458</v>
      </c>
      <c r="D249" s="63" t="s">
        <v>1036</v>
      </c>
      <c r="E249" s="63" t="s">
        <v>1031</v>
      </c>
      <c r="F249" s="63" t="s">
        <v>1224</v>
      </c>
      <c r="G249" s="63" t="s">
        <v>975</v>
      </c>
      <c r="H249" s="65">
        <v>0</v>
      </c>
      <c r="I249" s="66">
        <f t="shared" si="7"/>
        <v>360700</v>
      </c>
      <c r="J249" s="65">
        <v>360700</v>
      </c>
    </row>
    <row r="250" spans="2:10" x14ac:dyDescent="0.2">
      <c r="B250" s="74" t="s">
        <v>529</v>
      </c>
      <c r="C250" s="63" t="s">
        <v>458</v>
      </c>
      <c r="D250" s="63" t="s">
        <v>1036</v>
      </c>
      <c r="E250" s="63" t="s">
        <v>1032</v>
      </c>
      <c r="F250" s="63"/>
      <c r="G250" s="63"/>
      <c r="H250" s="65">
        <f>H259+H254+H256+H264+H251+H261</f>
        <v>5451640</v>
      </c>
      <c r="I250" s="66">
        <f t="shared" si="7"/>
        <v>793981.5</v>
      </c>
      <c r="J250" s="65">
        <f>J259+J254+J256+J264+J251+J261</f>
        <v>6245621.5</v>
      </c>
    </row>
    <row r="251" spans="2:10" ht="52.5" x14ac:dyDescent="0.2">
      <c r="B251" s="74" t="s">
        <v>1226</v>
      </c>
      <c r="C251" s="63" t="s">
        <v>458</v>
      </c>
      <c r="D251" s="63" t="s">
        <v>1036</v>
      </c>
      <c r="E251" s="63" t="s">
        <v>1032</v>
      </c>
      <c r="F251" s="63" t="s">
        <v>1225</v>
      </c>
      <c r="G251" s="63"/>
      <c r="H251" s="65">
        <f>H252</f>
        <v>0</v>
      </c>
      <c r="I251" s="66">
        <f t="shared" si="7"/>
        <v>385869</v>
      </c>
      <c r="J251" s="65">
        <f>J252</f>
        <v>385869</v>
      </c>
    </row>
    <row r="252" spans="2:10" ht="31.5" x14ac:dyDescent="0.2">
      <c r="B252" s="74" t="s">
        <v>437</v>
      </c>
      <c r="C252" s="63" t="s">
        <v>458</v>
      </c>
      <c r="D252" s="63" t="s">
        <v>1036</v>
      </c>
      <c r="E252" s="63" t="s">
        <v>1032</v>
      </c>
      <c r="F252" s="63" t="s">
        <v>1225</v>
      </c>
      <c r="G252" s="63" t="s">
        <v>429</v>
      </c>
      <c r="H252" s="65">
        <v>0</v>
      </c>
      <c r="I252" s="66">
        <f t="shared" si="7"/>
        <v>385869</v>
      </c>
      <c r="J252" s="65">
        <v>385869</v>
      </c>
    </row>
    <row r="253" spans="2:10" ht="52.5" hidden="1" x14ac:dyDescent="0.2">
      <c r="B253" s="74" t="s">
        <v>1144</v>
      </c>
      <c r="C253" s="63" t="s">
        <v>458</v>
      </c>
      <c r="D253" s="63" t="s">
        <v>1036</v>
      </c>
      <c r="E253" s="63" t="s">
        <v>1032</v>
      </c>
      <c r="F253" s="63" t="s">
        <v>869</v>
      </c>
      <c r="G253" s="63"/>
      <c r="H253" s="66">
        <f>H254+H256</f>
        <v>0</v>
      </c>
      <c r="I253" s="66">
        <f t="shared" si="7"/>
        <v>0</v>
      </c>
      <c r="J253" s="66">
        <f>J254+J256</f>
        <v>0</v>
      </c>
    </row>
    <row r="254" spans="2:10" ht="52.5" hidden="1" x14ac:dyDescent="0.2">
      <c r="B254" s="74" t="s">
        <v>1092</v>
      </c>
      <c r="C254" s="63" t="s">
        <v>458</v>
      </c>
      <c r="D254" s="63" t="s">
        <v>1036</v>
      </c>
      <c r="E254" s="63" t="s">
        <v>1032</v>
      </c>
      <c r="F254" s="63" t="s">
        <v>754</v>
      </c>
      <c r="G254" s="63"/>
      <c r="H254" s="66">
        <f>H255</f>
        <v>0</v>
      </c>
      <c r="I254" s="66">
        <f t="shared" si="7"/>
        <v>0</v>
      </c>
      <c r="J254" s="66">
        <f>J255</f>
        <v>0</v>
      </c>
    </row>
    <row r="255" spans="2:10" ht="31.5" hidden="1" x14ac:dyDescent="0.2">
      <c r="B255" s="74" t="s">
        <v>437</v>
      </c>
      <c r="C255" s="63" t="s">
        <v>458</v>
      </c>
      <c r="D255" s="63" t="s">
        <v>1036</v>
      </c>
      <c r="E255" s="63" t="s">
        <v>1032</v>
      </c>
      <c r="F255" s="63" t="s">
        <v>754</v>
      </c>
      <c r="G255" s="63" t="s">
        <v>429</v>
      </c>
      <c r="H255" s="66">
        <v>0</v>
      </c>
      <c r="I255" s="66">
        <f t="shared" si="7"/>
        <v>0</v>
      </c>
      <c r="J255" s="66">
        <v>0</v>
      </c>
    </row>
    <row r="256" spans="2:10" ht="63" hidden="1" x14ac:dyDescent="0.2">
      <c r="B256" s="74" t="s">
        <v>1009</v>
      </c>
      <c r="C256" s="63" t="s">
        <v>458</v>
      </c>
      <c r="D256" s="63" t="s">
        <v>1036</v>
      </c>
      <c r="E256" s="63" t="s">
        <v>1032</v>
      </c>
      <c r="F256" s="63" t="s">
        <v>756</v>
      </c>
      <c r="G256" s="63"/>
      <c r="H256" s="66">
        <f>H257</f>
        <v>0</v>
      </c>
      <c r="I256" s="66">
        <f t="shared" si="7"/>
        <v>0</v>
      </c>
      <c r="J256" s="66">
        <f>J257</f>
        <v>0</v>
      </c>
    </row>
    <row r="257" spans="2:10" ht="31.5" hidden="1" x14ac:dyDescent="0.2">
      <c r="B257" s="74" t="s">
        <v>437</v>
      </c>
      <c r="C257" s="63" t="s">
        <v>458</v>
      </c>
      <c r="D257" s="63" t="s">
        <v>1036</v>
      </c>
      <c r="E257" s="63" t="s">
        <v>1032</v>
      </c>
      <c r="F257" s="63" t="s">
        <v>756</v>
      </c>
      <c r="G257" s="63" t="s">
        <v>429</v>
      </c>
      <c r="H257" s="65">
        <v>0</v>
      </c>
      <c r="I257" s="66">
        <f t="shared" si="7"/>
        <v>0</v>
      </c>
      <c r="J257" s="65">
        <v>0</v>
      </c>
    </row>
    <row r="258" spans="2:10" ht="63" x14ac:dyDescent="0.2">
      <c r="B258" s="74" t="s">
        <v>972</v>
      </c>
      <c r="C258" s="63" t="s">
        <v>458</v>
      </c>
      <c r="D258" s="63" t="s">
        <v>1036</v>
      </c>
      <c r="E258" s="63" t="s">
        <v>1032</v>
      </c>
      <c r="F258" s="63" t="s">
        <v>782</v>
      </c>
      <c r="G258" s="63"/>
      <c r="H258" s="65">
        <f t="shared" ref="H258:J259" si="8">H259</f>
        <v>0</v>
      </c>
      <c r="I258" s="66">
        <f t="shared" si="7"/>
        <v>408112.5</v>
      </c>
      <c r="J258" s="65">
        <f>J259+J261</f>
        <v>408112.5</v>
      </c>
    </row>
    <row r="259" spans="2:10" ht="52.5" x14ac:dyDescent="0.2">
      <c r="B259" s="74" t="s">
        <v>973</v>
      </c>
      <c r="C259" s="63" t="s">
        <v>458</v>
      </c>
      <c r="D259" s="63" t="s">
        <v>1036</v>
      </c>
      <c r="E259" s="63" t="s">
        <v>1032</v>
      </c>
      <c r="F259" s="63" t="s">
        <v>820</v>
      </c>
      <c r="G259" s="63"/>
      <c r="H259" s="65">
        <f t="shared" si="8"/>
        <v>0</v>
      </c>
      <c r="I259" s="66">
        <f t="shared" si="7"/>
        <v>8112.5</v>
      </c>
      <c r="J259" s="65">
        <f t="shared" si="8"/>
        <v>8112.5</v>
      </c>
    </row>
    <row r="260" spans="2:10" ht="31.5" x14ac:dyDescent="0.2">
      <c r="B260" s="74" t="s">
        <v>968</v>
      </c>
      <c r="C260" s="63" t="s">
        <v>458</v>
      </c>
      <c r="D260" s="63" t="s">
        <v>1036</v>
      </c>
      <c r="E260" s="63" t="s">
        <v>1032</v>
      </c>
      <c r="F260" s="63" t="s">
        <v>820</v>
      </c>
      <c r="G260" s="63" t="s">
        <v>967</v>
      </c>
      <c r="H260" s="65">
        <v>0</v>
      </c>
      <c r="I260" s="66">
        <f t="shared" si="7"/>
        <v>8112.5</v>
      </c>
      <c r="J260" s="65">
        <v>8112.5</v>
      </c>
    </row>
    <row r="261" spans="2:10" ht="55.5" customHeight="1" x14ac:dyDescent="0.2">
      <c r="B261" s="74" t="s">
        <v>1228</v>
      </c>
      <c r="C261" s="63" t="s">
        <v>458</v>
      </c>
      <c r="D261" s="63" t="s">
        <v>1036</v>
      </c>
      <c r="E261" s="63" t="s">
        <v>1032</v>
      </c>
      <c r="F261" s="63" t="s">
        <v>971</v>
      </c>
      <c r="G261" s="63"/>
      <c r="H261" s="65">
        <f>H262</f>
        <v>0</v>
      </c>
      <c r="I261" s="66">
        <f t="shared" si="7"/>
        <v>400000</v>
      </c>
      <c r="J261" s="65">
        <f>J262</f>
        <v>400000</v>
      </c>
    </row>
    <row r="262" spans="2:10" ht="21" x14ac:dyDescent="0.2">
      <c r="B262" s="74" t="s">
        <v>976</v>
      </c>
      <c r="C262" s="63" t="s">
        <v>458</v>
      </c>
      <c r="D262" s="63" t="s">
        <v>1036</v>
      </c>
      <c r="E262" s="63" t="s">
        <v>1032</v>
      </c>
      <c r="F262" s="63" t="s">
        <v>971</v>
      </c>
      <c r="G262" s="63" t="s">
        <v>975</v>
      </c>
      <c r="H262" s="65">
        <v>0</v>
      </c>
      <c r="I262" s="66">
        <f t="shared" si="7"/>
        <v>400000</v>
      </c>
      <c r="J262" s="65">
        <v>400000</v>
      </c>
    </row>
    <row r="263" spans="2:10" ht="24" customHeight="1" x14ac:dyDescent="0.2">
      <c r="B263" s="74" t="s">
        <v>1176</v>
      </c>
      <c r="C263" s="63" t="s">
        <v>458</v>
      </c>
      <c r="D263" s="63" t="s">
        <v>1036</v>
      </c>
      <c r="E263" s="63" t="s">
        <v>1032</v>
      </c>
      <c r="F263" s="63" t="s">
        <v>899</v>
      </c>
      <c r="G263" s="63"/>
      <c r="H263" s="65">
        <f>H264</f>
        <v>5451640</v>
      </c>
      <c r="I263" s="66">
        <f t="shared" si="7"/>
        <v>0</v>
      </c>
      <c r="J263" s="65">
        <f>J264</f>
        <v>5451640</v>
      </c>
    </row>
    <row r="264" spans="2:10" ht="33" customHeight="1" x14ac:dyDescent="0.2">
      <c r="B264" s="74" t="s">
        <v>1177</v>
      </c>
      <c r="C264" s="63" t="s">
        <v>458</v>
      </c>
      <c r="D264" s="63" t="s">
        <v>1036</v>
      </c>
      <c r="E264" s="63" t="s">
        <v>1032</v>
      </c>
      <c r="F264" s="63" t="s">
        <v>1175</v>
      </c>
      <c r="G264" s="63"/>
      <c r="H264" s="65">
        <f>H265</f>
        <v>5451640</v>
      </c>
      <c r="I264" s="66">
        <f t="shared" si="7"/>
        <v>0</v>
      </c>
      <c r="J264" s="65">
        <f>J265</f>
        <v>5451640</v>
      </c>
    </row>
    <row r="265" spans="2:10" ht="31.5" x14ac:dyDescent="0.2">
      <c r="B265" s="74" t="s">
        <v>437</v>
      </c>
      <c r="C265" s="63" t="s">
        <v>458</v>
      </c>
      <c r="D265" s="63" t="s">
        <v>1036</v>
      </c>
      <c r="E265" s="63" t="s">
        <v>1032</v>
      </c>
      <c r="F265" s="63" t="s">
        <v>1175</v>
      </c>
      <c r="G265" s="63" t="s">
        <v>429</v>
      </c>
      <c r="H265" s="65">
        <v>5451640</v>
      </c>
      <c r="I265" s="66">
        <f t="shared" si="7"/>
        <v>0</v>
      </c>
      <c r="J265" s="65">
        <v>5451640</v>
      </c>
    </row>
    <row r="266" spans="2:10" ht="21" x14ac:dyDescent="0.2">
      <c r="B266" s="74" t="s">
        <v>94</v>
      </c>
      <c r="C266" s="63" t="s">
        <v>458</v>
      </c>
      <c r="D266" s="63" t="s">
        <v>1036</v>
      </c>
      <c r="E266" s="63" t="s">
        <v>1041</v>
      </c>
      <c r="F266" s="63"/>
      <c r="G266" s="63"/>
      <c r="H266" s="65">
        <f>H267</f>
        <v>46300</v>
      </c>
      <c r="I266" s="66">
        <f t="shared" si="7"/>
        <v>0</v>
      </c>
      <c r="J266" s="65">
        <f>J267</f>
        <v>46300</v>
      </c>
    </row>
    <row r="267" spans="2:10" ht="21" x14ac:dyDescent="0.2">
      <c r="B267" s="74" t="s">
        <v>711</v>
      </c>
      <c r="C267" s="63" t="s">
        <v>458</v>
      </c>
      <c r="D267" s="63" t="s">
        <v>1036</v>
      </c>
      <c r="E267" s="63" t="s">
        <v>1041</v>
      </c>
      <c r="F267" s="63" t="s">
        <v>710</v>
      </c>
      <c r="G267" s="63"/>
      <c r="H267" s="65">
        <f>H268+H269</f>
        <v>46300</v>
      </c>
      <c r="I267" s="66">
        <f t="shared" si="7"/>
        <v>0</v>
      </c>
      <c r="J267" s="65">
        <f>J268+J269</f>
        <v>46300</v>
      </c>
    </row>
    <row r="268" spans="2:10" ht="21" x14ac:dyDescent="0.2">
      <c r="B268" s="74" t="s">
        <v>432</v>
      </c>
      <c r="C268" s="63" t="s">
        <v>458</v>
      </c>
      <c r="D268" s="63" t="s">
        <v>1036</v>
      </c>
      <c r="E268" s="63" t="s">
        <v>1041</v>
      </c>
      <c r="F268" s="63" t="s">
        <v>710</v>
      </c>
      <c r="G268" s="63" t="s">
        <v>425</v>
      </c>
      <c r="H268" s="65">
        <f>1300+12000+8000</f>
        <v>21300</v>
      </c>
      <c r="I268" s="66">
        <f t="shared" si="7"/>
        <v>0</v>
      </c>
      <c r="J268" s="65">
        <f>1300+12000+8000</f>
        <v>21300</v>
      </c>
    </row>
    <row r="269" spans="2:10" ht="21" x14ac:dyDescent="0.2">
      <c r="B269" s="74" t="s">
        <v>434</v>
      </c>
      <c r="C269" s="63" t="s">
        <v>458</v>
      </c>
      <c r="D269" s="63" t="s">
        <v>1036</v>
      </c>
      <c r="E269" s="63" t="s">
        <v>1041</v>
      </c>
      <c r="F269" s="63" t="s">
        <v>710</v>
      </c>
      <c r="G269" s="63" t="s">
        <v>423</v>
      </c>
      <c r="H269" s="65">
        <f>25000</f>
        <v>25000</v>
      </c>
      <c r="I269" s="66">
        <f t="shared" si="7"/>
        <v>0</v>
      </c>
      <c r="J269" s="65">
        <f>25000</f>
        <v>25000</v>
      </c>
    </row>
    <row r="270" spans="2:10" x14ac:dyDescent="0.2">
      <c r="B270" s="74" t="s">
        <v>602</v>
      </c>
      <c r="C270" s="63" t="s">
        <v>458</v>
      </c>
      <c r="D270" s="63" t="s">
        <v>1036</v>
      </c>
      <c r="E270" s="63" t="s">
        <v>1036</v>
      </c>
      <c r="F270" s="63"/>
      <c r="G270" s="63"/>
      <c r="H270" s="65">
        <f>H272</f>
        <v>0</v>
      </c>
      <c r="I270" s="66">
        <f t="shared" si="7"/>
        <v>53215</v>
      </c>
      <c r="J270" s="65">
        <f>J272</f>
        <v>53215</v>
      </c>
    </row>
    <row r="271" spans="2:10" ht="56.25" customHeight="1" x14ac:dyDescent="0.2">
      <c r="B271" s="74" t="s">
        <v>1229</v>
      </c>
      <c r="C271" s="63" t="s">
        <v>458</v>
      </c>
      <c r="D271" s="63" t="s">
        <v>1036</v>
      </c>
      <c r="E271" s="63" t="s">
        <v>1036</v>
      </c>
      <c r="F271" s="63" t="s">
        <v>848</v>
      </c>
      <c r="G271" s="63"/>
      <c r="H271" s="65">
        <f>H272</f>
        <v>0</v>
      </c>
      <c r="I271" s="66">
        <f t="shared" si="7"/>
        <v>53215</v>
      </c>
      <c r="J271" s="65">
        <f>J272</f>
        <v>53215</v>
      </c>
    </row>
    <row r="272" spans="2:10" ht="52.5" x14ac:dyDescent="0.2">
      <c r="B272" s="74" t="s">
        <v>1102</v>
      </c>
      <c r="C272" s="63" t="s">
        <v>458</v>
      </c>
      <c r="D272" s="63" t="s">
        <v>1036</v>
      </c>
      <c r="E272" s="63" t="s">
        <v>1036</v>
      </c>
      <c r="F272" s="63" t="s">
        <v>875</v>
      </c>
      <c r="G272" s="63"/>
      <c r="H272" s="65">
        <f>H273</f>
        <v>0</v>
      </c>
      <c r="I272" s="66">
        <f t="shared" si="7"/>
        <v>53215</v>
      </c>
      <c r="J272" s="65">
        <f>J273</f>
        <v>53215</v>
      </c>
    </row>
    <row r="273" spans="2:10" ht="21" x14ac:dyDescent="0.2">
      <c r="B273" s="74" t="s">
        <v>434</v>
      </c>
      <c r="C273" s="63" t="s">
        <v>458</v>
      </c>
      <c r="D273" s="63" t="s">
        <v>1036</v>
      </c>
      <c r="E273" s="63" t="s">
        <v>1036</v>
      </c>
      <c r="F273" s="63" t="s">
        <v>875</v>
      </c>
      <c r="G273" s="63" t="s">
        <v>423</v>
      </c>
      <c r="H273" s="65">
        <v>0</v>
      </c>
      <c r="I273" s="66">
        <f t="shared" si="7"/>
        <v>53215</v>
      </c>
      <c r="J273" s="65">
        <v>53215</v>
      </c>
    </row>
    <row r="274" spans="2:10" x14ac:dyDescent="0.2">
      <c r="B274" s="74" t="s">
        <v>574</v>
      </c>
      <c r="C274" s="63" t="s">
        <v>458</v>
      </c>
      <c r="D274" s="63" t="s">
        <v>1043</v>
      </c>
      <c r="E274" s="63" t="s">
        <v>1031</v>
      </c>
      <c r="F274" s="63"/>
      <c r="G274" s="63"/>
      <c r="H274" s="65">
        <f>H275+H278</f>
        <v>0</v>
      </c>
      <c r="I274" s="66">
        <f t="shared" si="7"/>
        <v>862150.2</v>
      </c>
      <c r="J274" s="65">
        <f>J275+J278</f>
        <v>862150.2</v>
      </c>
    </row>
    <row r="275" spans="2:10" ht="57.75" customHeight="1" x14ac:dyDescent="0.2">
      <c r="B275" s="74" t="s">
        <v>1233</v>
      </c>
      <c r="C275" s="63" t="s">
        <v>458</v>
      </c>
      <c r="D275" s="63" t="s">
        <v>1043</v>
      </c>
      <c r="E275" s="63" t="s">
        <v>1031</v>
      </c>
      <c r="F275" s="63" t="s">
        <v>1230</v>
      </c>
      <c r="G275" s="63"/>
      <c r="H275" s="65">
        <f>H276</f>
        <v>0</v>
      </c>
      <c r="I275" s="66">
        <f t="shared" si="7"/>
        <v>675000</v>
      </c>
      <c r="J275" s="65">
        <f>J276</f>
        <v>675000</v>
      </c>
    </row>
    <row r="276" spans="2:10" ht="21" x14ac:dyDescent="0.2">
      <c r="B276" s="74" t="s">
        <v>434</v>
      </c>
      <c r="C276" s="63" t="s">
        <v>458</v>
      </c>
      <c r="D276" s="63" t="s">
        <v>1043</v>
      </c>
      <c r="E276" s="63" t="s">
        <v>1031</v>
      </c>
      <c r="F276" s="63" t="s">
        <v>1230</v>
      </c>
      <c r="G276" s="63" t="s">
        <v>423</v>
      </c>
      <c r="H276" s="65">
        <v>0</v>
      </c>
      <c r="I276" s="66">
        <f t="shared" si="7"/>
        <v>675000</v>
      </c>
      <c r="J276" s="65">
        <v>675000</v>
      </c>
    </row>
    <row r="277" spans="2:10" ht="52.5" x14ac:dyDescent="0.2">
      <c r="B277" s="74" t="s">
        <v>1234</v>
      </c>
      <c r="C277" s="63" t="s">
        <v>458</v>
      </c>
      <c r="D277" s="63" t="s">
        <v>1043</v>
      </c>
      <c r="E277" s="63" t="s">
        <v>1031</v>
      </c>
      <c r="F277" s="63" t="s">
        <v>1231</v>
      </c>
      <c r="G277" s="63"/>
      <c r="H277" s="65">
        <f>H278</f>
        <v>0</v>
      </c>
      <c r="I277" s="66">
        <f t="shared" si="7"/>
        <v>187150.2</v>
      </c>
      <c r="J277" s="65">
        <f>J278</f>
        <v>187150.2</v>
      </c>
    </row>
    <row r="278" spans="2:10" ht="52.5" x14ac:dyDescent="0.2">
      <c r="B278" s="74" t="s">
        <v>1235</v>
      </c>
      <c r="C278" s="63" t="s">
        <v>458</v>
      </c>
      <c r="D278" s="63" t="s">
        <v>1043</v>
      </c>
      <c r="E278" s="63" t="s">
        <v>1031</v>
      </c>
      <c r="F278" s="63" t="s">
        <v>1232</v>
      </c>
      <c r="G278" s="63"/>
      <c r="H278" s="65">
        <f>H279</f>
        <v>0</v>
      </c>
      <c r="I278" s="66">
        <f t="shared" ref="I278:I325" si="9">J278-H278</f>
        <v>187150.2</v>
      </c>
      <c r="J278" s="65">
        <f>J279</f>
        <v>187150.2</v>
      </c>
    </row>
    <row r="279" spans="2:10" ht="21" x14ac:dyDescent="0.2">
      <c r="B279" s="74" t="s">
        <v>434</v>
      </c>
      <c r="C279" s="63" t="s">
        <v>458</v>
      </c>
      <c r="D279" s="63" t="s">
        <v>1043</v>
      </c>
      <c r="E279" s="63" t="s">
        <v>1031</v>
      </c>
      <c r="F279" s="63" t="s">
        <v>1232</v>
      </c>
      <c r="G279" s="63" t="s">
        <v>423</v>
      </c>
      <c r="H279" s="65">
        <v>0</v>
      </c>
      <c r="I279" s="66">
        <f t="shared" si="9"/>
        <v>187150.2</v>
      </c>
      <c r="J279" s="65">
        <f>185950.2+1200</f>
        <v>187150.2</v>
      </c>
    </row>
    <row r="280" spans="2:10" x14ac:dyDescent="0.2">
      <c r="B280" s="74" t="s">
        <v>11</v>
      </c>
      <c r="C280" s="63" t="s">
        <v>458</v>
      </c>
      <c r="D280" s="63" t="s">
        <v>941</v>
      </c>
      <c r="E280" s="63" t="s">
        <v>1031</v>
      </c>
      <c r="F280" s="63"/>
      <c r="G280" s="63"/>
      <c r="H280" s="65">
        <f>H282</f>
        <v>390000</v>
      </c>
      <c r="I280" s="66">
        <f t="shared" si="9"/>
        <v>0</v>
      </c>
      <c r="J280" s="65">
        <f>J282</f>
        <v>390000</v>
      </c>
    </row>
    <row r="281" spans="2:10" ht="56.25" customHeight="1" x14ac:dyDescent="0.2">
      <c r="B281" s="74" t="s">
        <v>1094</v>
      </c>
      <c r="C281" s="63" t="s">
        <v>458</v>
      </c>
      <c r="D281" s="63" t="s">
        <v>941</v>
      </c>
      <c r="E281" s="63" t="s">
        <v>1031</v>
      </c>
      <c r="F281" s="63" t="s">
        <v>944</v>
      </c>
      <c r="G281" s="63"/>
      <c r="H281" s="65">
        <f>H282</f>
        <v>390000</v>
      </c>
      <c r="I281" s="66">
        <f t="shared" si="9"/>
        <v>0</v>
      </c>
      <c r="J281" s="65">
        <f>J282</f>
        <v>390000</v>
      </c>
    </row>
    <row r="282" spans="2:10" ht="52.5" x14ac:dyDescent="0.2">
      <c r="B282" s="74" t="s">
        <v>1093</v>
      </c>
      <c r="C282" s="63" t="s">
        <v>458</v>
      </c>
      <c r="D282" s="63" t="s">
        <v>941</v>
      </c>
      <c r="E282" s="63" t="s">
        <v>1031</v>
      </c>
      <c r="F282" s="63" t="s">
        <v>947</v>
      </c>
      <c r="G282" s="63"/>
      <c r="H282" s="65">
        <f>H283</f>
        <v>390000</v>
      </c>
      <c r="I282" s="66">
        <f t="shared" si="9"/>
        <v>0</v>
      </c>
      <c r="J282" s="65">
        <f>J283</f>
        <v>390000</v>
      </c>
    </row>
    <row r="283" spans="2:10" ht="21" x14ac:dyDescent="0.2">
      <c r="B283" s="74" t="s">
        <v>438</v>
      </c>
      <c r="C283" s="63" t="s">
        <v>458</v>
      </c>
      <c r="D283" s="63" t="s">
        <v>941</v>
      </c>
      <c r="E283" s="63" t="s">
        <v>1031</v>
      </c>
      <c r="F283" s="63" t="s">
        <v>947</v>
      </c>
      <c r="G283" s="63" t="s">
        <v>430</v>
      </c>
      <c r="H283" s="65">
        <v>390000</v>
      </c>
      <c r="I283" s="66">
        <f t="shared" si="9"/>
        <v>0</v>
      </c>
      <c r="J283" s="65">
        <v>390000</v>
      </c>
    </row>
    <row r="284" spans="2:10" x14ac:dyDescent="0.2">
      <c r="B284" s="74" t="s">
        <v>541</v>
      </c>
      <c r="C284" s="63" t="s">
        <v>458</v>
      </c>
      <c r="D284" s="63" t="s">
        <v>941</v>
      </c>
      <c r="E284" s="63" t="s">
        <v>1033</v>
      </c>
      <c r="F284" s="63"/>
      <c r="G284" s="63"/>
      <c r="H284" s="65">
        <f>H288+H292+H294+H290+H285</f>
        <v>4974400</v>
      </c>
      <c r="I284" s="66">
        <f t="shared" si="9"/>
        <v>451073</v>
      </c>
      <c r="J284" s="65">
        <f>J288+J292+J294+J290+J285</f>
        <v>5425473</v>
      </c>
    </row>
    <row r="285" spans="2:10" ht="52.5" x14ac:dyDescent="0.2">
      <c r="B285" s="74" t="s">
        <v>1238</v>
      </c>
      <c r="C285" s="63" t="s">
        <v>458</v>
      </c>
      <c r="D285" s="63" t="s">
        <v>941</v>
      </c>
      <c r="E285" s="63" t="s">
        <v>1033</v>
      </c>
      <c r="F285" s="63" t="s">
        <v>1236</v>
      </c>
      <c r="G285" s="63"/>
      <c r="H285" s="65">
        <f>H286</f>
        <v>0</v>
      </c>
      <c r="I285" s="66">
        <f t="shared" si="9"/>
        <v>1348600</v>
      </c>
      <c r="J285" s="65">
        <f>J286</f>
        <v>1348600</v>
      </c>
    </row>
    <row r="286" spans="2:10" x14ac:dyDescent="0.2">
      <c r="B286" s="74" t="s">
        <v>439</v>
      </c>
      <c r="C286" s="63" t="s">
        <v>458</v>
      </c>
      <c r="D286" s="63" t="s">
        <v>941</v>
      </c>
      <c r="E286" s="63" t="s">
        <v>1033</v>
      </c>
      <c r="F286" s="63" t="s">
        <v>1236</v>
      </c>
      <c r="G286" s="63" t="s">
        <v>1237</v>
      </c>
      <c r="H286" s="65">
        <v>0</v>
      </c>
      <c r="I286" s="66">
        <f t="shared" si="9"/>
        <v>1348600</v>
      </c>
      <c r="J286" s="65">
        <v>1348600</v>
      </c>
    </row>
    <row r="287" spans="2:10" ht="46.5" customHeight="1" x14ac:dyDescent="0.2">
      <c r="B287" s="74" t="s">
        <v>1082</v>
      </c>
      <c r="C287" s="63" t="s">
        <v>458</v>
      </c>
      <c r="D287" s="63" t="s">
        <v>941</v>
      </c>
      <c r="E287" s="63" t="s">
        <v>1033</v>
      </c>
      <c r="F287" s="63" t="s">
        <v>807</v>
      </c>
      <c r="G287" s="63"/>
      <c r="H287" s="65">
        <f>H288+H290</f>
        <v>710000</v>
      </c>
      <c r="I287" s="66">
        <f t="shared" si="9"/>
        <v>320873</v>
      </c>
      <c r="J287" s="65">
        <f>J288+J290</f>
        <v>1030873</v>
      </c>
    </row>
    <row r="288" spans="2:10" ht="54.75" hidden="1" customHeight="1" x14ac:dyDescent="0.2">
      <c r="B288" s="74" t="s">
        <v>1095</v>
      </c>
      <c r="C288" s="63" t="s">
        <v>458</v>
      </c>
      <c r="D288" s="63" t="s">
        <v>941</v>
      </c>
      <c r="E288" s="63" t="s">
        <v>1033</v>
      </c>
      <c r="F288" s="63" t="s">
        <v>822</v>
      </c>
      <c r="G288" s="63"/>
      <c r="H288" s="66">
        <f>H289</f>
        <v>0</v>
      </c>
      <c r="I288" s="66">
        <f t="shared" si="9"/>
        <v>0</v>
      </c>
      <c r="J288" s="66">
        <f>J289</f>
        <v>0</v>
      </c>
    </row>
    <row r="289" spans="2:10" hidden="1" x14ac:dyDescent="0.2">
      <c r="B289" s="74" t="s">
        <v>439</v>
      </c>
      <c r="C289" s="63" t="s">
        <v>458</v>
      </c>
      <c r="D289" s="63" t="s">
        <v>941</v>
      </c>
      <c r="E289" s="63" t="s">
        <v>1033</v>
      </c>
      <c r="F289" s="63" t="s">
        <v>822</v>
      </c>
      <c r="G289" s="63">
        <v>322</v>
      </c>
      <c r="H289" s="66">
        <v>0</v>
      </c>
      <c r="I289" s="66">
        <f t="shared" si="9"/>
        <v>0</v>
      </c>
      <c r="J289" s="66">
        <v>0</v>
      </c>
    </row>
    <row r="290" spans="2:10" ht="54" customHeight="1" x14ac:dyDescent="0.2">
      <c r="B290" s="74" t="s">
        <v>1179</v>
      </c>
      <c r="C290" s="63" t="s">
        <v>458</v>
      </c>
      <c r="D290" s="63" t="s">
        <v>941</v>
      </c>
      <c r="E290" s="63" t="s">
        <v>1033</v>
      </c>
      <c r="F290" s="63" t="s">
        <v>1178</v>
      </c>
      <c r="G290" s="63"/>
      <c r="H290" s="66">
        <f>H291</f>
        <v>710000</v>
      </c>
      <c r="I290" s="66">
        <f t="shared" si="9"/>
        <v>320873</v>
      </c>
      <c r="J290" s="66">
        <f>J291</f>
        <v>1030873</v>
      </c>
    </row>
    <row r="291" spans="2:10" x14ac:dyDescent="0.2">
      <c r="B291" s="74" t="s">
        <v>439</v>
      </c>
      <c r="C291" s="63" t="s">
        <v>458</v>
      </c>
      <c r="D291" s="63" t="s">
        <v>941</v>
      </c>
      <c r="E291" s="63" t="s">
        <v>1033</v>
      </c>
      <c r="F291" s="63" t="s">
        <v>1178</v>
      </c>
      <c r="G291" s="63">
        <v>322</v>
      </c>
      <c r="H291" s="66">
        <v>710000</v>
      </c>
      <c r="I291" s="66">
        <f t="shared" si="9"/>
        <v>320873</v>
      </c>
      <c r="J291" s="66">
        <v>1030873</v>
      </c>
    </row>
    <row r="292" spans="2:10" ht="94.5" x14ac:dyDescent="0.2">
      <c r="B292" s="74" t="s">
        <v>1060</v>
      </c>
      <c r="C292" s="63" t="s">
        <v>458</v>
      </c>
      <c r="D292" s="63" t="s">
        <v>941</v>
      </c>
      <c r="E292" s="63" t="s">
        <v>1033</v>
      </c>
      <c r="F292" s="63" t="s">
        <v>1057</v>
      </c>
      <c r="G292" s="63"/>
      <c r="H292" s="66">
        <f>H293</f>
        <v>1218400</v>
      </c>
      <c r="I292" s="66">
        <f t="shared" si="9"/>
        <v>-1218400</v>
      </c>
      <c r="J292" s="66">
        <f>J293</f>
        <v>0</v>
      </c>
    </row>
    <row r="293" spans="2:10" ht="21" x14ac:dyDescent="0.2">
      <c r="B293" s="74" t="s">
        <v>979</v>
      </c>
      <c r="C293" s="63" t="s">
        <v>458</v>
      </c>
      <c r="D293" s="63" t="s">
        <v>941</v>
      </c>
      <c r="E293" s="63" t="s">
        <v>1033</v>
      </c>
      <c r="F293" s="63" t="s">
        <v>1057</v>
      </c>
      <c r="G293" s="63" t="s">
        <v>333</v>
      </c>
      <c r="H293" s="66">
        <v>1218400</v>
      </c>
      <c r="I293" s="66">
        <f t="shared" si="9"/>
        <v>-1218400</v>
      </c>
      <c r="J293" s="66">
        <v>0</v>
      </c>
    </row>
    <row r="294" spans="2:10" ht="84" x14ac:dyDescent="0.2">
      <c r="B294" s="74" t="s">
        <v>1059</v>
      </c>
      <c r="C294" s="63" t="s">
        <v>458</v>
      </c>
      <c r="D294" s="63" t="s">
        <v>941</v>
      </c>
      <c r="E294" s="63" t="s">
        <v>1033</v>
      </c>
      <c r="F294" s="63" t="s">
        <v>1058</v>
      </c>
      <c r="G294" s="63"/>
      <c r="H294" s="66">
        <f>H296+H295</f>
        <v>3046000</v>
      </c>
      <c r="I294" s="66">
        <f t="shared" si="9"/>
        <v>0</v>
      </c>
      <c r="J294" s="66">
        <f>J296+J295</f>
        <v>3046000</v>
      </c>
    </row>
    <row r="295" spans="2:10" ht="21" x14ac:dyDescent="0.2">
      <c r="B295" s="74" t="s">
        <v>979</v>
      </c>
      <c r="C295" s="63" t="s">
        <v>458</v>
      </c>
      <c r="D295" s="63" t="s">
        <v>941</v>
      </c>
      <c r="E295" s="63" t="s">
        <v>1033</v>
      </c>
      <c r="F295" s="63" t="s">
        <v>1058</v>
      </c>
      <c r="G295" s="63" t="s">
        <v>333</v>
      </c>
      <c r="H295" s="66">
        <v>3046000</v>
      </c>
      <c r="I295" s="66">
        <f t="shared" si="9"/>
        <v>0</v>
      </c>
      <c r="J295" s="66">
        <v>3046000</v>
      </c>
    </row>
    <row r="296" spans="2:10" ht="21" hidden="1" x14ac:dyDescent="0.2">
      <c r="B296" s="74" t="s">
        <v>440</v>
      </c>
      <c r="C296" s="63" t="s">
        <v>458</v>
      </c>
      <c r="D296" s="63" t="s">
        <v>941</v>
      </c>
      <c r="E296" s="63" t="s">
        <v>1033</v>
      </c>
      <c r="F296" s="63" t="s">
        <v>1058</v>
      </c>
      <c r="G296" s="63">
        <v>314</v>
      </c>
      <c r="H296" s="66">
        <v>0</v>
      </c>
      <c r="I296" s="66">
        <f t="shared" si="9"/>
        <v>0</v>
      </c>
      <c r="J296" s="66">
        <v>0</v>
      </c>
    </row>
    <row r="297" spans="2:10" x14ac:dyDescent="0.2">
      <c r="B297" s="74" t="s">
        <v>52</v>
      </c>
      <c r="C297" s="63" t="s">
        <v>458</v>
      </c>
      <c r="D297" s="63" t="s">
        <v>941</v>
      </c>
      <c r="E297" s="63" t="s">
        <v>1035</v>
      </c>
      <c r="F297" s="63"/>
      <c r="G297" s="63"/>
      <c r="H297" s="65">
        <f t="shared" ref="H297:J298" si="10">H298</f>
        <v>79000</v>
      </c>
      <c r="I297" s="66">
        <f t="shared" si="9"/>
        <v>0</v>
      </c>
      <c r="J297" s="65">
        <f t="shared" si="10"/>
        <v>79000</v>
      </c>
    </row>
    <row r="298" spans="2:10" ht="63" x14ac:dyDescent="0.2">
      <c r="B298" s="74" t="s">
        <v>1119</v>
      </c>
      <c r="C298" s="63" t="s">
        <v>458</v>
      </c>
      <c r="D298" s="63" t="s">
        <v>941</v>
      </c>
      <c r="E298" s="63" t="s">
        <v>1035</v>
      </c>
      <c r="F298" s="63" t="s">
        <v>980</v>
      </c>
      <c r="G298" s="63"/>
      <c r="H298" s="65">
        <f t="shared" si="10"/>
        <v>79000</v>
      </c>
      <c r="I298" s="66">
        <f t="shared" si="9"/>
        <v>0</v>
      </c>
      <c r="J298" s="65">
        <f t="shared" si="10"/>
        <v>79000</v>
      </c>
    </row>
    <row r="299" spans="2:10" x14ac:dyDescent="0.2">
      <c r="B299" s="74" t="s">
        <v>431</v>
      </c>
      <c r="C299" s="63" t="s">
        <v>458</v>
      </c>
      <c r="D299" s="63" t="s">
        <v>941</v>
      </c>
      <c r="E299" s="63" t="s">
        <v>1035</v>
      </c>
      <c r="F299" s="63" t="s">
        <v>980</v>
      </c>
      <c r="G299" s="63" t="s">
        <v>424</v>
      </c>
      <c r="H299" s="65">
        <v>79000</v>
      </c>
      <c r="I299" s="66">
        <f t="shared" si="9"/>
        <v>0</v>
      </c>
      <c r="J299" s="65">
        <v>79000</v>
      </c>
    </row>
    <row r="300" spans="2:10" x14ac:dyDescent="0.2">
      <c r="B300" s="74" t="s">
        <v>716</v>
      </c>
      <c r="C300" s="63" t="s">
        <v>458</v>
      </c>
      <c r="D300" s="63" t="s">
        <v>1037</v>
      </c>
      <c r="E300" s="63" t="s">
        <v>1031</v>
      </c>
      <c r="F300" s="75"/>
      <c r="G300" s="63"/>
      <c r="H300" s="65">
        <f>H302</f>
        <v>50000</v>
      </c>
      <c r="I300" s="66">
        <f t="shared" si="9"/>
        <v>0</v>
      </c>
      <c r="J300" s="65">
        <f>J302</f>
        <v>50000</v>
      </c>
    </row>
    <row r="301" spans="2:10" ht="42" x14ac:dyDescent="0.2">
      <c r="B301" s="74" t="s">
        <v>1006</v>
      </c>
      <c r="C301" s="63" t="s">
        <v>458</v>
      </c>
      <c r="D301" s="63" t="s">
        <v>1037</v>
      </c>
      <c r="E301" s="63" t="s">
        <v>1031</v>
      </c>
      <c r="F301" s="63" t="s">
        <v>824</v>
      </c>
      <c r="G301" s="63"/>
      <c r="H301" s="65">
        <f>H302</f>
        <v>50000</v>
      </c>
      <c r="I301" s="66">
        <f t="shared" si="9"/>
        <v>0</v>
      </c>
      <c r="J301" s="65">
        <f>J302</f>
        <v>50000</v>
      </c>
    </row>
    <row r="302" spans="2:10" ht="52.5" x14ac:dyDescent="0.2">
      <c r="B302" s="74" t="s">
        <v>1098</v>
      </c>
      <c r="C302" s="63" t="s">
        <v>458</v>
      </c>
      <c r="D302" s="63" t="s">
        <v>1037</v>
      </c>
      <c r="E302" s="63" t="s">
        <v>1031</v>
      </c>
      <c r="F302" s="63" t="s">
        <v>1097</v>
      </c>
      <c r="G302" s="63"/>
      <c r="H302" s="65">
        <f>H303</f>
        <v>50000</v>
      </c>
      <c r="I302" s="66">
        <f t="shared" si="9"/>
        <v>0</v>
      </c>
      <c r="J302" s="65">
        <f>J303</f>
        <v>50000</v>
      </c>
    </row>
    <row r="303" spans="2:10" ht="21" x14ac:dyDescent="0.2">
      <c r="B303" s="74" t="s">
        <v>434</v>
      </c>
      <c r="C303" s="63" t="s">
        <v>458</v>
      </c>
      <c r="D303" s="63" t="s">
        <v>1037</v>
      </c>
      <c r="E303" s="63" t="s">
        <v>1031</v>
      </c>
      <c r="F303" s="63" t="s">
        <v>1097</v>
      </c>
      <c r="G303" s="63" t="s">
        <v>423</v>
      </c>
      <c r="H303" s="65">
        <f>50000</f>
        <v>50000</v>
      </c>
      <c r="I303" s="66">
        <f t="shared" si="9"/>
        <v>0</v>
      </c>
      <c r="J303" s="65">
        <f>50000</f>
        <v>50000</v>
      </c>
    </row>
    <row r="304" spans="2:10" x14ac:dyDescent="0.2">
      <c r="B304" s="74" t="s">
        <v>718</v>
      </c>
      <c r="C304" s="63" t="s">
        <v>458</v>
      </c>
      <c r="D304" s="63" t="s">
        <v>1037</v>
      </c>
      <c r="E304" s="63" t="s">
        <v>1032</v>
      </c>
      <c r="F304" s="75"/>
      <c r="G304" s="63"/>
      <c r="H304" s="65">
        <f>H306</f>
        <v>150000</v>
      </c>
      <c r="I304" s="66">
        <f t="shared" si="9"/>
        <v>-40000</v>
      </c>
      <c r="J304" s="65">
        <f>J306</f>
        <v>110000</v>
      </c>
    </row>
    <row r="305" spans="2:10" ht="42" x14ac:dyDescent="0.2">
      <c r="B305" s="74" t="s">
        <v>1006</v>
      </c>
      <c r="C305" s="63" t="s">
        <v>458</v>
      </c>
      <c r="D305" s="63" t="s">
        <v>1037</v>
      </c>
      <c r="E305" s="63" t="s">
        <v>1032</v>
      </c>
      <c r="F305" s="63" t="s">
        <v>824</v>
      </c>
      <c r="G305" s="63"/>
      <c r="H305" s="65">
        <f>H306</f>
        <v>150000</v>
      </c>
      <c r="I305" s="66">
        <f t="shared" si="9"/>
        <v>-40000</v>
      </c>
      <c r="J305" s="65">
        <f>J306</f>
        <v>110000</v>
      </c>
    </row>
    <row r="306" spans="2:10" ht="42" x14ac:dyDescent="0.2">
      <c r="B306" s="74" t="s">
        <v>1096</v>
      </c>
      <c r="C306" s="63" t="s">
        <v>458</v>
      </c>
      <c r="D306" s="63" t="s">
        <v>1037</v>
      </c>
      <c r="E306" s="63" t="s">
        <v>1032</v>
      </c>
      <c r="F306" s="63" t="s">
        <v>826</v>
      </c>
      <c r="G306" s="63"/>
      <c r="H306" s="65">
        <f>H307</f>
        <v>150000</v>
      </c>
      <c r="I306" s="66">
        <f t="shared" si="9"/>
        <v>-40000</v>
      </c>
      <c r="J306" s="65">
        <f>J307</f>
        <v>110000</v>
      </c>
    </row>
    <row r="307" spans="2:10" ht="21" x14ac:dyDescent="0.2">
      <c r="B307" s="74" t="s">
        <v>434</v>
      </c>
      <c r="C307" s="63" t="s">
        <v>458</v>
      </c>
      <c r="D307" s="63" t="s">
        <v>1037</v>
      </c>
      <c r="E307" s="63" t="s">
        <v>1032</v>
      </c>
      <c r="F307" s="63" t="s">
        <v>826</v>
      </c>
      <c r="G307" s="63" t="s">
        <v>423</v>
      </c>
      <c r="H307" s="65">
        <v>150000</v>
      </c>
      <c r="I307" s="66">
        <f t="shared" si="9"/>
        <v>-40000</v>
      </c>
      <c r="J307" s="65">
        <v>110000</v>
      </c>
    </row>
    <row r="308" spans="2:10" x14ac:dyDescent="0.2">
      <c r="B308" s="74" t="s">
        <v>720</v>
      </c>
      <c r="C308" s="63" t="s">
        <v>458</v>
      </c>
      <c r="D308" s="63" t="s">
        <v>1037</v>
      </c>
      <c r="E308" s="63" t="s">
        <v>1033</v>
      </c>
      <c r="F308" s="63"/>
      <c r="G308" s="63"/>
      <c r="H308" s="65">
        <f>H310</f>
        <v>420000</v>
      </c>
      <c r="I308" s="66">
        <f t="shared" si="9"/>
        <v>440000</v>
      </c>
      <c r="J308" s="65">
        <f>J310</f>
        <v>860000</v>
      </c>
    </row>
    <row r="309" spans="2:10" ht="42" x14ac:dyDescent="0.2">
      <c r="B309" s="74" t="s">
        <v>1006</v>
      </c>
      <c r="C309" s="63" t="s">
        <v>458</v>
      </c>
      <c r="D309" s="63" t="s">
        <v>1037</v>
      </c>
      <c r="E309" s="63" t="s">
        <v>1033</v>
      </c>
      <c r="F309" s="63" t="s">
        <v>824</v>
      </c>
      <c r="G309" s="63"/>
      <c r="H309" s="65">
        <f>H310</f>
        <v>420000</v>
      </c>
      <c r="I309" s="66">
        <f t="shared" si="9"/>
        <v>440000</v>
      </c>
      <c r="J309" s="65">
        <f>J310</f>
        <v>860000</v>
      </c>
    </row>
    <row r="310" spans="2:10" ht="45" customHeight="1" x14ac:dyDescent="0.2">
      <c r="B310" s="74" t="s">
        <v>1100</v>
      </c>
      <c r="C310" s="63" t="s">
        <v>458</v>
      </c>
      <c r="D310" s="63" t="s">
        <v>1037</v>
      </c>
      <c r="E310" s="63" t="s">
        <v>1033</v>
      </c>
      <c r="F310" s="63" t="s">
        <v>1099</v>
      </c>
      <c r="G310" s="63"/>
      <c r="H310" s="65">
        <f>H311</f>
        <v>420000</v>
      </c>
      <c r="I310" s="66">
        <f t="shared" si="9"/>
        <v>440000</v>
      </c>
      <c r="J310" s="65">
        <f>J311</f>
        <v>860000</v>
      </c>
    </row>
    <row r="311" spans="2:10" ht="21" x14ac:dyDescent="0.2">
      <c r="B311" s="74" t="s">
        <v>434</v>
      </c>
      <c r="C311" s="63" t="s">
        <v>458</v>
      </c>
      <c r="D311" s="63" t="s">
        <v>1037</v>
      </c>
      <c r="E311" s="63" t="s">
        <v>1033</v>
      </c>
      <c r="F311" s="63" t="s">
        <v>1099</v>
      </c>
      <c r="G311" s="63" t="s">
        <v>423</v>
      </c>
      <c r="H311" s="65">
        <f>20000+100000+100000+200000</f>
        <v>420000</v>
      </c>
      <c r="I311" s="66">
        <f t="shared" si="9"/>
        <v>440000</v>
      </c>
      <c r="J311" s="65">
        <v>860000</v>
      </c>
    </row>
    <row r="312" spans="2:10" x14ac:dyDescent="0.2">
      <c r="B312" s="74" t="s">
        <v>983</v>
      </c>
      <c r="C312" s="63" t="s">
        <v>458</v>
      </c>
      <c r="D312" s="63" t="s">
        <v>1042</v>
      </c>
      <c r="E312" s="63" t="s">
        <v>1031</v>
      </c>
      <c r="F312" s="63"/>
      <c r="G312" s="63"/>
      <c r="H312" s="65">
        <f>H314+H317</f>
        <v>200000</v>
      </c>
      <c r="I312" s="66">
        <f t="shared" si="9"/>
        <v>0</v>
      </c>
      <c r="J312" s="65">
        <f>J314+J317</f>
        <v>200000</v>
      </c>
    </row>
    <row r="313" spans="2:10" ht="61.5" hidden="1" customHeight="1" x14ac:dyDescent="0.2">
      <c r="B313" s="74" t="s">
        <v>1101</v>
      </c>
      <c r="C313" s="63" t="s">
        <v>458</v>
      </c>
      <c r="D313" s="63" t="s">
        <v>1042</v>
      </c>
      <c r="E313" s="63" t="s">
        <v>1031</v>
      </c>
      <c r="F313" s="63" t="s">
        <v>828</v>
      </c>
      <c r="G313" s="63"/>
      <c r="H313" s="65">
        <f>H314</f>
        <v>0</v>
      </c>
      <c r="I313" s="66">
        <f t="shared" si="9"/>
        <v>0</v>
      </c>
      <c r="J313" s="65">
        <f>J314</f>
        <v>0</v>
      </c>
    </row>
    <row r="314" spans="2:10" ht="52.5" hidden="1" x14ac:dyDescent="0.2">
      <c r="B314" s="74" t="s">
        <v>1120</v>
      </c>
      <c r="C314" s="63" t="s">
        <v>458</v>
      </c>
      <c r="D314" s="63" t="s">
        <v>1042</v>
      </c>
      <c r="E314" s="63" t="s">
        <v>1031</v>
      </c>
      <c r="F314" s="63" t="s">
        <v>831</v>
      </c>
      <c r="G314" s="63"/>
      <c r="H314" s="65">
        <f>H315</f>
        <v>0</v>
      </c>
      <c r="I314" s="66">
        <f t="shared" si="9"/>
        <v>0</v>
      </c>
      <c r="J314" s="65">
        <f>J315</f>
        <v>0</v>
      </c>
    </row>
    <row r="315" spans="2:10" ht="21" hidden="1" x14ac:dyDescent="0.2">
      <c r="B315" s="74" t="s">
        <v>436</v>
      </c>
      <c r="C315" s="63" t="s">
        <v>458</v>
      </c>
      <c r="D315" s="63" t="s">
        <v>1042</v>
      </c>
      <c r="E315" s="63" t="s">
        <v>1031</v>
      </c>
      <c r="F315" s="63" t="s">
        <v>831</v>
      </c>
      <c r="G315" s="63" t="s">
        <v>428</v>
      </c>
      <c r="H315" s="65">
        <v>0</v>
      </c>
      <c r="I315" s="66">
        <f t="shared" si="9"/>
        <v>0</v>
      </c>
      <c r="J315" s="65">
        <v>0</v>
      </c>
    </row>
    <row r="316" spans="2:10" ht="42.75" customHeight="1" x14ac:dyDescent="0.2">
      <c r="B316" s="74" t="s">
        <v>1206</v>
      </c>
      <c r="C316" s="63" t="s">
        <v>458</v>
      </c>
      <c r="D316" s="63" t="s">
        <v>1042</v>
      </c>
      <c r="E316" s="63" t="s">
        <v>1031</v>
      </c>
      <c r="F316" s="63" t="s">
        <v>1204</v>
      </c>
      <c r="G316" s="63"/>
      <c r="H316" s="65">
        <f>H317</f>
        <v>200000</v>
      </c>
      <c r="I316" s="66">
        <f t="shared" si="9"/>
        <v>0</v>
      </c>
      <c r="J316" s="65">
        <f>J317</f>
        <v>200000</v>
      </c>
    </row>
    <row r="317" spans="2:10" ht="32.25" customHeight="1" x14ac:dyDescent="0.2">
      <c r="B317" s="74" t="s">
        <v>1208</v>
      </c>
      <c r="C317" s="63" t="s">
        <v>458</v>
      </c>
      <c r="D317" s="63" t="s">
        <v>1042</v>
      </c>
      <c r="E317" s="63" t="s">
        <v>1031</v>
      </c>
      <c r="F317" s="63" t="s">
        <v>1203</v>
      </c>
      <c r="G317" s="63"/>
      <c r="H317" s="65">
        <f>H318</f>
        <v>200000</v>
      </c>
      <c r="I317" s="66">
        <f t="shared" si="9"/>
        <v>0</v>
      </c>
      <c r="J317" s="65">
        <f>J318</f>
        <v>200000</v>
      </c>
    </row>
    <row r="318" spans="2:10" ht="21" x14ac:dyDescent="0.2">
      <c r="B318" s="74" t="s">
        <v>436</v>
      </c>
      <c r="C318" s="63" t="s">
        <v>458</v>
      </c>
      <c r="D318" s="63" t="s">
        <v>1042</v>
      </c>
      <c r="E318" s="63" t="s">
        <v>1031</v>
      </c>
      <c r="F318" s="63" t="s">
        <v>1203</v>
      </c>
      <c r="G318" s="63" t="s">
        <v>428</v>
      </c>
      <c r="H318" s="65">
        <v>200000</v>
      </c>
      <c r="I318" s="66">
        <f t="shared" si="9"/>
        <v>0</v>
      </c>
      <c r="J318" s="65">
        <v>200000</v>
      </c>
    </row>
    <row r="319" spans="2:10" x14ac:dyDescent="0.2">
      <c r="B319" s="74" t="s">
        <v>638</v>
      </c>
      <c r="C319" s="63" t="s">
        <v>458</v>
      </c>
      <c r="D319" s="63" t="s">
        <v>1042</v>
      </c>
      <c r="E319" s="63" t="s">
        <v>1032</v>
      </c>
      <c r="F319" s="63"/>
      <c r="G319" s="63"/>
      <c r="H319" s="65">
        <f>H321+H324</f>
        <v>2122000</v>
      </c>
      <c r="I319" s="66">
        <f t="shared" si="9"/>
        <v>-232000</v>
      </c>
      <c r="J319" s="65">
        <f>J321+J324</f>
        <v>1890000</v>
      </c>
    </row>
    <row r="320" spans="2:10" ht="65.25" hidden="1" customHeight="1" x14ac:dyDescent="0.2">
      <c r="B320" s="74" t="s">
        <v>1101</v>
      </c>
      <c r="C320" s="63" t="s">
        <v>458</v>
      </c>
      <c r="D320" s="63" t="s">
        <v>1042</v>
      </c>
      <c r="E320" s="63" t="s">
        <v>1032</v>
      </c>
      <c r="F320" s="63" t="s">
        <v>828</v>
      </c>
      <c r="G320" s="63"/>
      <c r="H320" s="65">
        <f>H321</f>
        <v>0</v>
      </c>
      <c r="I320" s="66">
        <f t="shared" si="9"/>
        <v>0</v>
      </c>
      <c r="J320" s="65">
        <f>J321</f>
        <v>0</v>
      </c>
    </row>
    <row r="321" spans="2:10" ht="52.5" hidden="1" x14ac:dyDescent="0.2">
      <c r="B321" s="74" t="s">
        <v>1121</v>
      </c>
      <c r="C321" s="63" t="s">
        <v>458</v>
      </c>
      <c r="D321" s="63" t="s">
        <v>1042</v>
      </c>
      <c r="E321" s="63" t="s">
        <v>1032</v>
      </c>
      <c r="F321" s="63" t="s">
        <v>830</v>
      </c>
      <c r="G321" s="63"/>
      <c r="H321" s="65">
        <f>H322</f>
        <v>0</v>
      </c>
      <c r="I321" s="66">
        <f t="shared" si="9"/>
        <v>0</v>
      </c>
      <c r="J321" s="65">
        <f>J322</f>
        <v>0</v>
      </c>
    </row>
    <row r="322" spans="2:10" ht="21" hidden="1" x14ac:dyDescent="0.2">
      <c r="B322" s="74" t="s">
        <v>436</v>
      </c>
      <c r="C322" s="63" t="s">
        <v>458</v>
      </c>
      <c r="D322" s="63" t="s">
        <v>1042</v>
      </c>
      <c r="E322" s="63" t="s">
        <v>1032</v>
      </c>
      <c r="F322" s="63" t="s">
        <v>830</v>
      </c>
      <c r="G322" s="63" t="s">
        <v>428</v>
      </c>
      <c r="H322" s="65">
        <v>0</v>
      </c>
      <c r="I322" s="66">
        <f t="shared" si="9"/>
        <v>0</v>
      </c>
      <c r="J322" s="65">
        <v>0</v>
      </c>
    </row>
    <row r="323" spans="2:10" ht="45.75" customHeight="1" x14ac:dyDescent="0.2">
      <c r="B323" s="74" t="s">
        <v>1206</v>
      </c>
      <c r="C323" s="63" t="s">
        <v>458</v>
      </c>
      <c r="D323" s="63" t="s">
        <v>1042</v>
      </c>
      <c r="E323" s="63" t="s">
        <v>1032</v>
      </c>
      <c r="F323" s="63" t="s">
        <v>1204</v>
      </c>
      <c r="G323" s="63"/>
      <c r="H323" s="65">
        <f>H324</f>
        <v>2122000</v>
      </c>
      <c r="I323" s="66">
        <f t="shared" si="9"/>
        <v>-232000</v>
      </c>
      <c r="J323" s="65">
        <f>J324</f>
        <v>1890000</v>
      </c>
    </row>
    <row r="324" spans="2:10" ht="32.25" customHeight="1" x14ac:dyDescent="0.2">
      <c r="B324" s="74" t="s">
        <v>1207</v>
      </c>
      <c r="C324" s="63" t="s">
        <v>458</v>
      </c>
      <c r="D324" s="63" t="s">
        <v>1042</v>
      </c>
      <c r="E324" s="63" t="s">
        <v>1032</v>
      </c>
      <c r="F324" s="63" t="s">
        <v>1205</v>
      </c>
      <c r="G324" s="63"/>
      <c r="H324" s="65">
        <f>H325</f>
        <v>2122000</v>
      </c>
      <c r="I324" s="66">
        <f t="shared" si="9"/>
        <v>-232000</v>
      </c>
      <c r="J324" s="65">
        <f>J325</f>
        <v>1890000</v>
      </c>
    </row>
    <row r="325" spans="2:10" ht="24.75" customHeight="1" x14ac:dyDescent="0.2">
      <c r="B325" s="74" t="s">
        <v>436</v>
      </c>
      <c r="C325" s="63" t="s">
        <v>458</v>
      </c>
      <c r="D325" s="63" t="s">
        <v>1042</v>
      </c>
      <c r="E325" s="63" t="s">
        <v>1032</v>
      </c>
      <c r="F325" s="63" t="s">
        <v>1205</v>
      </c>
      <c r="G325" s="63" t="s">
        <v>428</v>
      </c>
      <c r="H325" s="65">
        <v>2122000</v>
      </c>
      <c r="I325" s="66">
        <f t="shared" si="9"/>
        <v>-232000</v>
      </c>
      <c r="J325" s="65">
        <v>1890000</v>
      </c>
    </row>
    <row r="326" spans="2:10" ht="25.5" customHeight="1" x14ac:dyDescent="0.2">
      <c r="B326" s="69" t="s">
        <v>571</v>
      </c>
      <c r="C326" s="70" t="s">
        <v>570</v>
      </c>
      <c r="D326" s="70"/>
      <c r="E326" s="73"/>
      <c r="F326" s="70"/>
      <c r="G326" s="70"/>
      <c r="H326" s="68">
        <f>H327+H341+H373+H335</f>
        <v>31420130</v>
      </c>
      <c r="I326" s="68">
        <f t="shared" ref="I326:I333" si="11">J326-H326</f>
        <v>6069643</v>
      </c>
      <c r="J326" s="68">
        <f>J327+J341+J373+J335</f>
        <v>37489773</v>
      </c>
    </row>
    <row r="327" spans="2:10" x14ac:dyDescent="0.2">
      <c r="B327" s="74" t="s">
        <v>529</v>
      </c>
      <c r="C327" s="63" t="s">
        <v>570</v>
      </c>
      <c r="D327" s="63" t="s">
        <v>1036</v>
      </c>
      <c r="E327" s="63" t="s">
        <v>1032</v>
      </c>
      <c r="G327" s="63"/>
      <c r="H327" s="66">
        <f>H331+H333+H328</f>
        <v>3828660</v>
      </c>
      <c r="I327" s="66">
        <f t="shared" si="11"/>
        <v>422615</v>
      </c>
      <c r="J327" s="66">
        <f>J331+J333+J328</f>
        <v>4251275</v>
      </c>
    </row>
    <row r="328" spans="2:10" ht="52.5" x14ac:dyDescent="0.2">
      <c r="B328" s="74" t="s">
        <v>1226</v>
      </c>
      <c r="C328" s="63" t="s">
        <v>570</v>
      </c>
      <c r="D328" s="63" t="s">
        <v>1036</v>
      </c>
      <c r="E328" s="63" t="s">
        <v>1032</v>
      </c>
      <c r="F328" s="63" t="s">
        <v>1225</v>
      </c>
      <c r="G328" s="63"/>
      <c r="H328" s="66">
        <f>H329</f>
        <v>0</v>
      </c>
      <c r="I328" s="66">
        <f t="shared" si="11"/>
        <v>422615</v>
      </c>
      <c r="J328" s="66">
        <f>J329</f>
        <v>422615</v>
      </c>
    </row>
    <row r="329" spans="2:10" ht="31.5" x14ac:dyDescent="0.2">
      <c r="B329" s="74" t="s">
        <v>437</v>
      </c>
      <c r="C329" s="63" t="s">
        <v>570</v>
      </c>
      <c r="D329" s="63" t="s">
        <v>1036</v>
      </c>
      <c r="E329" s="63" t="s">
        <v>1032</v>
      </c>
      <c r="F329" s="63" t="s">
        <v>1225</v>
      </c>
      <c r="G329" s="63" t="s">
        <v>429</v>
      </c>
      <c r="H329" s="66">
        <v>0</v>
      </c>
      <c r="I329" s="66">
        <f t="shared" si="11"/>
        <v>422615</v>
      </c>
      <c r="J329" s="66">
        <v>422615</v>
      </c>
    </row>
    <row r="330" spans="2:10" ht="42" x14ac:dyDescent="0.2">
      <c r="B330" s="74" t="s">
        <v>1145</v>
      </c>
      <c r="C330" s="63" t="s">
        <v>570</v>
      </c>
      <c r="D330" s="63" t="s">
        <v>1036</v>
      </c>
      <c r="E330" s="63" t="s">
        <v>1032</v>
      </c>
      <c r="F330" s="63" t="s">
        <v>899</v>
      </c>
      <c r="G330" s="63"/>
      <c r="H330" s="66">
        <f>H331+H333</f>
        <v>3828660</v>
      </c>
      <c r="I330" s="66">
        <f t="shared" si="11"/>
        <v>0</v>
      </c>
      <c r="J330" s="66">
        <f>J331+J333</f>
        <v>3828660</v>
      </c>
    </row>
    <row r="331" spans="2:10" ht="52.5" x14ac:dyDescent="0.2">
      <c r="B331" s="74" t="s">
        <v>1146</v>
      </c>
      <c r="C331" s="63" t="s">
        <v>570</v>
      </c>
      <c r="D331" s="63" t="s">
        <v>1036</v>
      </c>
      <c r="E331" s="63" t="s">
        <v>1032</v>
      </c>
      <c r="F331" s="63" t="s">
        <v>900</v>
      </c>
      <c r="G331" s="63"/>
      <c r="H331" s="66">
        <f>H332</f>
        <v>3828660</v>
      </c>
      <c r="I331" s="66">
        <f t="shared" si="11"/>
        <v>0</v>
      </c>
      <c r="J331" s="66">
        <f>J332</f>
        <v>3828660</v>
      </c>
    </row>
    <row r="332" spans="2:10" ht="31.5" x14ac:dyDescent="0.2">
      <c r="B332" s="74" t="s">
        <v>437</v>
      </c>
      <c r="C332" s="63" t="s">
        <v>570</v>
      </c>
      <c r="D332" s="63" t="s">
        <v>1036</v>
      </c>
      <c r="E332" s="63" t="s">
        <v>1032</v>
      </c>
      <c r="F332" s="63" t="s">
        <v>900</v>
      </c>
      <c r="G332" s="63" t="s">
        <v>429</v>
      </c>
      <c r="H332" s="65">
        <f>280900+3547760</f>
        <v>3828660</v>
      </c>
      <c r="I332" s="66">
        <f t="shared" si="11"/>
        <v>0</v>
      </c>
      <c r="J332" s="65">
        <f>280900+3547760</f>
        <v>3828660</v>
      </c>
    </row>
    <row r="333" spans="2:10" ht="42" hidden="1" x14ac:dyDescent="0.2">
      <c r="B333" s="74" t="s">
        <v>1147</v>
      </c>
      <c r="C333" s="63" t="s">
        <v>570</v>
      </c>
      <c r="D333" s="63" t="s">
        <v>1036</v>
      </c>
      <c r="E333" s="63" t="s">
        <v>1032</v>
      </c>
      <c r="F333" s="63" t="s">
        <v>901</v>
      </c>
      <c r="G333" s="63"/>
      <c r="H333" s="65">
        <f>H334</f>
        <v>0</v>
      </c>
      <c r="I333" s="66">
        <f t="shared" si="11"/>
        <v>0</v>
      </c>
      <c r="J333" s="65">
        <f>J334</f>
        <v>0</v>
      </c>
    </row>
    <row r="334" spans="2:10" ht="31.5" hidden="1" x14ac:dyDescent="0.2">
      <c r="B334" s="74" t="s">
        <v>437</v>
      </c>
      <c r="C334" s="63" t="s">
        <v>570</v>
      </c>
      <c r="D334" s="63" t="s">
        <v>1036</v>
      </c>
      <c r="E334" s="63" t="s">
        <v>1032</v>
      </c>
      <c r="F334" s="63" t="s">
        <v>901</v>
      </c>
      <c r="G334" s="63" t="s">
        <v>429</v>
      </c>
      <c r="H334" s="65">
        <v>0</v>
      </c>
      <c r="I334" s="66">
        <f t="shared" ref="I334:I385" si="12">J334-H334</f>
        <v>0</v>
      </c>
      <c r="J334" s="65">
        <v>0</v>
      </c>
    </row>
    <row r="335" spans="2:10" x14ac:dyDescent="0.2">
      <c r="B335" s="74" t="s">
        <v>602</v>
      </c>
      <c r="C335" s="63" t="s">
        <v>570</v>
      </c>
      <c r="D335" s="63" t="s">
        <v>1036</v>
      </c>
      <c r="E335" s="63" t="s">
        <v>1036</v>
      </c>
      <c r="F335" s="63"/>
      <c r="G335" s="63"/>
      <c r="H335" s="65">
        <f>H337</f>
        <v>171900</v>
      </c>
      <c r="I335" s="66">
        <f t="shared" si="12"/>
        <v>104700</v>
      </c>
      <c r="J335" s="65">
        <f>J337</f>
        <v>276600</v>
      </c>
    </row>
    <row r="336" spans="2:10" ht="52.5" x14ac:dyDescent="0.2">
      <c r="B336" s="74" t="s">
        <v>1148</v>
      </c>
      <c r="C336" s="63" t="s">
        <v>570</v>
      </c>
      <c r="D336" s="63" t="s">
        <v>1036</v>
      </c>
      <c r="E336" s="63" t="s">
        <v>1036</v>
      </c>
      <c r="F336" s="63" t="s">
        <v>848</v>
      </c>
      <c r="G336" s="63"/>
      <c r="H336" s="65">
        <f>H337</f>
        <v>171900</v>
      </c>
      <c r="I336" s="66">
        <f t="shared" si="12"/>
        <v>104700</v>
      </c>
      <c r="J336" s="65">
        <f>J337</f>
        <v>276600</v>
      </c>
    </row>
    <row r="337" spans="2:10" ht="52.5" x14ac:dyDescent="0.2">
      <c r="B337" s="74" t="s">
        <v>1102</v>
      </c>
      <c r="C337" s="63" t="s">
        <v>570</v>
      </c>
      <c r="D337" s="63" t="s">
        <v>1036</v>
      </c>
      <c r="E337" s="63" t="s">
        <v>1036</v>
      </c>
      <c r="F337" s="63" t="s">
        <v>875</v>
      </c>
      <c r="G337" s="63"/>
      <c r="H337" s="65">
        <f>H338+H339+H340</f>
        <v>171900</v>
      </c>
      <c r="I337" s="66">
        <f t="shared" si="12"/>
        <v>104700</v>
      </c>
      <c r="J337" s="65">
        <f>J338+J339+J340</f>
        <v>276600</v>
      </c>
    </row>
    <row r="338" spans="2:10" x14ac:dyDescent="0.2">
      <c r="B338" s="74" t="s">
        <v>431</v>
      </c>
      <c r="C338" s="63" t="s">
        <v>570</v>
      </c>
      <c r="D338" s="63" t="s">
        <v>1036</v>
      </c>
      <c r="E338" s="63" t="s">
        <v>1036</v>
      </c>
      <c r="F338" s="63" t="s">
        <v>875</v>
      </c>
      <c r="G338" s="63" t="s">
        <v>424</v>
      </c>
      <c r="H338" s="65">
        <f>37200+11200</f>
        <v>48400</v>
      </c>
      <c r="I338" s="66">
        <f t="shared" si="12"/>
        <v>0</v>
      </c>
      <c r="J338" s="65">
        <f>37200+11200</f>
        <v>48400</v>
      </c>
    </row>
    <row r="339" spans="2:10" ht="21" x14ac:dyDescent="0.2">
      <c r="B339" s="74" t="s">
        <v>432</v>
      </c>
      <c r="C339" s="63" t="s">
        <v>570</v>
      </c>
      <c r="D339" s="63" t="s">
        <v>1036</v>
      </c>
      <c r="E339" s="63" t="s">
        <v>1036</v>
      </c>
      <c r="F339" s="63" t="s">
        <v>875</v>
      </c>
      <c r="G339" s="63" t="s">
        <v>425</v>
      </c>
      <c r="H339" s="65">
        <f>1100</f>
        <v>1100</v>
      </c>
      <c r="I339" s="66">
        <f t="shared" si="12"/>
        <v>0</v>
      </c>
      <c r="J339" s="65">
        <f>1100</f>
        <v>1100</v>
      </c>
    </row>
    <row r="340" spans="2:10" ht="21" x14ac:dyDescent="0.2">
      <c r="B340" s="74" t="s">
        <v>434</v>
      </c>
      <c r="C340" s="63" t="s">
        <v>570</v>
      </c>
      <c r="D340" s="63" t="s">
        <v>1036</v>
      </c>
      <c r="E340" s="63" t="s">
        <v>1036</v>
      </c>
      <c r="F340" s="63" t="s">
        <v>875</v>
      </c>
      <c r="G340" s="63" t="s">
        <v>423</v>
      </c>
      <c r="H340" s="65">
        <f>584400+8000+3500-3500-500000+30000</f>
        <v>122400</v>
      </c>
      <c r="I340" s="66">
        <f t="shared" si="12"/>
        <v>104700</v>
      </c>
      <c r="J340" s="65">
        <v>227100</v>
      </c>
    </row>
    <row r="341" spans="2:10" x14ac:dyDescent="0.2">
      <c r="B341" s="74" t="s">
        <v>574</v>
      </c>
      <c r="C341" s="63" t="s">
        <v>570</v>
      </c>
      <c r="D341" s="63" t="s">
        <v>1043</v>
      </c>
      <c r="E341" s="63" t="s">
        <v>1031</v>
      </c>
      <c r="F341" s="63"/>
      <c r="G341" s="63"/>
      <c r="H341" s="66">
        <f>H343+H345+H349+H353+H360+H368+H371+H357+H363+H365</f>
        <v>23162430</v>
      </c>
      <c r="I341" s="66">
        <f t="shared" si="12"/>
        <v>5298328</v>
      </c>
      <c r="J341" s="66">
        <f>J343+J345+J349+J353+J360+J368+J371+J357+J363+J365</f>
        <v>28460758</v>
      </c>
    </row>
    <row r="342" spans="2:10" ht="42" x14ac:dyDescent="0.2">
      <c r="B342" s="74" t="s">
        <v>1002</v>
      </c>
      <c r="C342" s="63" t="s">
        <v>570</v>
      </c>
      <c r="D342" s="63" t="s">
        <v>1043</v>
      </c>
      <c r="E342" s="63" t="s">
        <v>1031</v>
      </c>
      <c r="F342" s="63" t="s">
        <v>832</v>
      </c>
      <c r="G342" s="63"/>
      <c r="H342" s="66">
        <f>H343+H345</f>
        <v>15476603</v>
      </c>
      <c r="I342" s="66">
        <f t="shared" si="12"/>
        <v>1200000</v>
      </c>
      <c r="J342" s="66">
        <f>J343+J345</f>
        <v>16676603</v>
      </c>
    </row>
    <row r="343" spans="2:10" ht="45" customHeight="1" x14ac:dyDescent="0.2">
      <c r="B343" s="74" t="s">
        <v>1103</v>
      </c>
      <c r="C343" s="63" t="s">
        <v>570</v>
      </c>
      <c r="D343" s="63" t="s">
        <v>1043</v>
      </c>
      <c r="E343" s="63" t="s">
        <v>1031</v>
      </c>
      <c r="F343" s="63" t="s">
        <v>725</v>
      </c>
      <c r="G343" s="63"/>
      <c r="H343" s="66">
        <f>H344</f>
        <v>15326603</v>
      </c>
      <c r="I343" s="66">
        <f t="shared" si="12"/>
        <v>0</v>
      </c>
      <c r="J343" s="66">
        <f>J344</f>
        <v>15326603</v>
      </c>
    </row>
    <row r="344" spans="2:10" ht="31.5" x14ac:dyDescent="0.2">
      <c r="B344" s="74" t="s">
        <v>437</v>
      </c>
      <c r="C344" s="63" t="s">
        <v>570</v>
      </c>
      <c r="D344" s="63" t="s">
        <v>1043</v>
      </c>
      <c r="E344" s="63" t="s">
        <v>1031</v>
      </c>
      <c r="F344" s="63" t="s">
        <v>725</v>
      </c>
      <c r="G344" s="63" t="s">
        <v>429</v>
      </c>
      <c r="H344" s="66">
        <f>4355503+10971100</f>
        <v>15326603</v>
      </c>
      <c r="I344" s="66">
        <f t="shared" si="12"/>
        <v>0</v>
      </c>
      <c r="J344" s="66">
        <f>4355503+10971100</f>
        <v>15326603</v>
      </c>
    </row>
    <row r="345" spans="2:10" ht="42" x14ac:dyDescent="0.2">
      <c r="B345" s="74" t="s">
        <v>1149</v>
      </c>
      <c r="C345" s="63" t="s">
        <v>570</v>
      </c>
      <c r="D345" s="63" t="s">
        <v>1043</v>
      </c>
      <c r="E345" s="63" t="s">
        <v>1031</v>
      </c>
      <c r="F345" s="63" t="s">
        <v>727</v>
      </c>
      <c r="G345" s="63"/>
      <c r="H345" s="66">
        <f>H347+H346+H348</f>
        <v>150000</v>
      </c>
      <c r="I345" s="66">
        <f t="shared" si="12"/>
        <v>1200000</v>
      </c>
      <c r="J345" s="66">
        <f>J347+J346+J348</f>
        <v>1350000</v>
      </c>
    </row>
    <row r="346" spans="2:10" ht="21" x14ac:dyDescent="0.2">
      <c r="B346" s="74" t="s">
        <v>434</v>
      </c>
      <c r="C346" s="63" t="s">
        <v>570</v>
      </c>
      <c r="D346" s="63" t="s">
        <v>1043</v>
      </c>
      <c r="E346" s="63" t="s">
        <v>1031</v>
      </c>
      <c r="F346" s="63" t="s">
        <v>727</v>
      </c>
      <c r="G346" s="63" t="s">
        <v>423</v>
      </c>
      <c r="H346" s="66">
        <v>0</v>
      </c>
      <c r="I346" s="66">
        <f t="shared" si="12"/>
        <v>1000000</v>
      </c>
      <c r="J346" s="66">
        <v>1000000</v>
      </c>
    </row>
    <row r="347" spans="2:10" ht="31.5" x14ac:dyDescent="0.2">
      <c r="B347" s="74" t="s">
        <v>437</v>
      </c>
      <c r="C347" s="63" t="s">
        <v>570</v>
      </c>
      <c r="D347" s="63" t="s">
        <v>1043</v>
      </c>
      <c r="E347" s="63" t="s">
        <v>1031</v>
      </c>
      <c r="F347" s="63" t="s">
        <v>727</v>
      </c>
      <c r="G347" s="63" t="s">
        <v>429</v>
      </c>
      <c r="H347" s="66">
        <v>150000</v>
      </c>
      <c r="I347" s="66">
        <f t="shared" si="12"/>
        <v>0</v>
      </c>
      <c r="J347" s="66">
        <v>150000</v>
      </c>
    </row>
    <row r="348" spans="2:10" x14ac:dyDescent="0.2">
      <c r="B348" s="74" t="s">
        <v>332</v>
      </c>
      <c r="C348" s="63" t="s">
        <v>570</v>
      </c>
      <c r="D348" s="63" t="s">
        <v>1043</v>
      </c>
      <c r="E348" s="63" t="s">
        <v>1031</v>
      </c>
      <c r="F348" s="63" t="s">
        <v>727</v>
      </c>
      <c r="G348" s="63" t="s">
        <v>331</v>
      </c>
      <c r="H348" s="66">
        <v>0</v>
      </c>
      <c r="I348" s="66">
        <f t="shared" si="12"/>
        <v>200000</v>
      </c>
      <c r="J348" s="66">
        <v>200000</v>
      </c>
    </row>
    <row r="349" spans="2:10" ht="42" x14ac:dyDescent="0.2">
      <c r="B349" s="74" t="s">
        <v>1240</v>
      </c>
      <c r="C349" s="63" t="s">
        <v>570</v>
      </c>
      <c r="D349" s="63" t="s">
        <v>1043</v>
      </c>
      <c r="E349" s="63" t="s">
        <v>1031</v>
      </c>
      <c r="F349" s="63" t="s">
        <v>1239</v>
      </c>
      <c r="G349" s="63"/>
      <c r="H349" s="66">
        <f>H350+H351</f>
        <v>0</v>
      </c>
      <c r="I349" s="66">
        <f t="shared" si="12"/>
        <v>3998928</v>
      </c>
      <c r="J349" s="66">
        <f>J350+J351</f>
        <v>3998928</v>
      </c>
    </row>
    <row r="350" spans="2:10" ht="31.5" x14ac:dyDescent="0.2">
      <c r="B350" s="74" t="s">
        <v>437</v>
      </c>
      <c r="C350" s="63" t="s">
        <v>570</v>
      </c>
      <c r="D350" s="63" t="s">
        <v>1043</v>
      </c>
      <c r="E350" s="63" t="s">
        <v>1031</v>
      </c>
      <c r="F350" s="63" t="s">
        <v>1239</v>
      </c>
      <c r="G350" s="63" t="s">
        <v>429</v>
      </c>
      <c r="H350" s="66">
        <v>0</v>
      </c>
      <c r="I350" s="66">
        <f t="shared" si="12"/>
        <v>3927928</v>
      </c>
      <c r="J350" s="66">
        <v>3927928</v>
      </c>
    </row>
    <row r="351" spans="2:10" ht="42" customHeight="1" x14ac:dyDescent="0.2">
      <c r="B351" s="74" t="s">
        <v>1241</v>
      </c>
      <c r="C351" s="63" t="s">
        <v>570</v>
      </c>
      <c r="D351" s="63" t="s">
        <v>1043</v>
      </c>
      <c r="E351" s="63" t="s">
        <v>1031</v>
      </c>
      <c r="F351" s="63" t="s">
        <v>1239</v>
      </c>
      <c r="G351" s="63" t="s">
        <v>990</v>
      </c>
      <c r="H351" s="66">
        <v>0</v>
      </c>
      <c r="I351" s="66">
        <f t="shared" si="12"/>
        <v>71000</v>
      </c>
      <c r="J351" s="66">
        <v>71000</v>
      </c>
    </row>
    <row r="352" spans="2:10" ht="42" x14ac:dyDescent="0.2">
      <c r="B352" s="74" t="s">
        <v>1003</v>
      </c>
      <c r="C352" s="63" t="s">
        <v>570</v>
      </c>
      <c r="D352" s="63" t="s">
        <v>1043</v>
      </c>
      <c r="E352" s="63" t="s">
        <v>1031</v>
      </c>
      <c r="F352" s="63" t="s">
        <v>834</v>
      </c>
      <c r="G352" s="63"/>
      <c r="H352" s="66">
        <f>H353</f>
        <v>230000</v>
      </c>
      <c r="I352" s="66">
        <f t="shared" si="12"/>
        <v>0</v>
      </c>
      <c r="J352" s="66">
        <f>J353</f>
        <v>230000</v>
      </c>
    </row>
    <row r="353" spans="2:10" ht="52.5" x14ac:dyDescent="0.2">
      <c r="B353" s="74" t="s">
        <v>1150</v>
      </c>
      <c r="C353" s="63" t="s">
        <v>570</v>
      </c>
      <c r="D353" s="63" t="s">
        <v>1043</v>
      </c>
      <c r="E353" s="63" t="s">
        <v>1031</v>
      </c>
      <c r="F353" s="63" t="s">
        <v>731</v>
      </c>
      <c r="G353" s="63"/>
      <c r="H353" s="66">
        <f>H354+H355</f>
        <v>230000</v>
      </c>
      <c r="I353" s="66">
        <f t="shared" si="12"/>
        <v>0</v>
      </c>
      <c r="J353" s="66">
        <f>J354+J355</f>
        <v>230000</v>
      </c>
    </row>
    <row r="354" spans="2:10" ht="31.5" hidden="1" x14ac:dyDescent="0.2">
      <c r="B354" s="74" t="s">
        <v>437</v>
      </c>
      <c r="C354" s="63" t="s">
        <v>570</v>
      </c>
      <c r="D354" s="63" t="s">
        <v>1043</v>
      </c>
      <c r="E354" s="63" t="s">
        <v>1031</v>
      </c>
      <c r="F354" s="63" t="s">
        <v>731</v>
      </c>
      <c r="G354" s="63" t="s">
        <v>429</v>
      </c>
      <c r="H354" s="66">
        <v>0</v>
      </c>
      <c r="I354" s="66">
        <f t="shared" si="12"/>
        <v>0</v>
      </c>
      <c r="J354" s="66">
        <v>0</v>
      </c>
    </row>
    <row r="355" spans="2:10" ht="51" customHeight="1" x14ac:dyDescent="0.2">
      <c r="B355" s="74" t="s">
        <v>998</v>
      </c>
      <c r="C355" s="63" t="s">
        <v>570</v>
      </c>
      <c r="D355" s="63" t="s">
        <v>1043</v>
      </c>
      <c r="E355" s="63" t="s">
        <v>1031</v>
      </c>
      <c r="F355" s="63" t="s">
        <v>731</v>
      </c>
      <c r="G355" s="63" t="s">
        <v>990</v>
      </c>
      <c r="H355" s="66">
        <v>230000</v>
      </c>
      <c r="I355" s="66">
        <f t="shared" si="12"/>
        <v>0</v>
      </c>
      <c r="J355" s="66">
        <v>230000</v>
      </c>
    </row>
    <row r="356" spans="2:10" ht="63" hidden="1" x14ac:dyDescent="0.2">
      <c r="B356" s="74" t="s">
        <v>1004</v>
      </c>
      <c r="C356" s="66" t="s">
        <v>570</v>
      </c>
      <c r="D356" s="63" t="s">
        <v>1043</v>
      </c>
      <c r="E356" s="63" t="s">
        <v>1031</v>
      </c>
      <c r="F356" s="63" t="s">
        <v>836</v>
      </c>
      <c r="G356" s="63"/>
      <c r="H356" s="66">
        <f t="shared" ref="H356:J357" si="13">H357</f>
        <v>0</v>
      </c>
      <c r="I356" s="66">
        <f t="shared" si="12"/>
        <v>0</v>
      </c>
      <c r="J356" s="66">
        <f t="shared" si="13"/>
        <v>0</v>
      </c>
    </row>
    <row r="357" spans="2:10" ht="42" hidden="1" x14ac:dyDescent="0.2">
      <c r="B357" s="74" t="s">
        <v>1151</v>
      </c>
      <c r="C357" s="66" t="s">
        <v>570</v>
      </c>
      <c r="D357" s="63" t="s">
        <v>1043</v>
      </c>
      <c r="E357" s="63" t="s">
        <v>1031</v>
      </c>
      <c r="F357" s="66" t="s">
        <v>733</v>
      </c>
      <c r="G357" s="66"/>
      <c r="H357" s="66">
        <f t="shared" si="13"/>
        <v>0</v>
      </c>
      <c r="I357" s="66">
        <f t="shared" si="12"/>
        <v>0</v>
      </c>
      <c r="J357" s="66">
        <f t="shared" si="13"/>
        <v>0</v>
      </c>
    </row>
    <row r="358" spans="2:10" ht="31.5" hidden="1" x14ac:dyDescent="0.2">
      <c r="B358" s="74" t="s">
        <v>437</v>
      </c>
      <c r="C358" s="66" t="s">
        <v>570</v>
      </c>
      <c r="D358" s="63" t="s">
        <v>1043</v>
      </c>
      <c r="E358" s="63" t="s">
        <v>1031</v>
      </c>
      <c r="F358" s="66" t="s">
        <v>733</v>
      </c>
      <c r="G358" s="66" t="s">
        <v>429</v>
      </c>
      <c r="H358" s="66">
        <v>0</v>
      </c>
      <c r="I358" s="66">
        <f t="shared" si="12"/>
        <v>0</v>
      </c>
      <c r="J358" s="66">
        <v>0</v>
      </c>
    </row>
    <row r="359" spans="2:10" ht="46.5" customHeight="1" x14ac:dyDescent="0.2">
      <c r="B359" s="74" t="s">
        <v>1005</v>
      </c>
      <c r="C359" s="66" t="s">
        <v>570</v>
      </c>
      <c r="D359" s="63" t="s">
        <v>1043</v>
      </c>
      <c r="E359" s="63" t="s">
        <v>1031</v>
      </c>
      <c r="F359" s="76" t="s">
        <v>839</v>
      </c>
      <c r="G359" s="66"/>
      <c r="H359" s="66">
        <f>H360</f>
        <v>7108027</v>
      </c>
      <c r="I359" s="66">
        <f t="shared" si="12"/>
        <v>-50000</v>
      </c>
      <c r="J359" s="66">
        <f>J360</f>
        <v>7058027</v>
      </c>
    </row>
    <row r="360" spans="2:10" ht="42" x14ac:dyDescent="0.2">
      <c r="B360" s="74" t="s">
        <v>1152</v>
      </c>
      <c r="C360" s="66" t="s">
        <v>570</v>
      </c>
      <c r="D360" s="63" t="s">
        <v>1043</v>
      </c>
      <c r="E360" s="63" t="s">
        <v>1031</v>
      </c>
      <c r="F360" s="66" t="s">
        <v>841</v>
      </c>
      <c r="G360" s="66"/>
      <c r="H360" s="66">
        <f>H361+H362</f>
        <v>7108027</v>
      </c>
      <c r="I360" s="66">
        <f t="shared" si="12"/>
        <v>-50000</v>
      </c>
      <c r="J360" s="66">
        <f>J361+J362</f>
        <v>7058027</v>
      </c>
    </row>
    <row r="361" spans="2:10" ht="31.5" x14ac:dyDescent="0.2">
      <c r="B361" s="74" t="s">
        <v>437</v>
      </c>
      <c r="C361" s="66" t="s">
        <v>570</v>
      </c>
      <c r="D361" s="63" t="s">
        <v>1043</v>
      </c>
      <c r="E361" s="63" t="s">
        <v>1031</v>
      </c>
      <c r="F361" s="66" t="s">
        <v>841</v>
      </c>
      <c r="G361" s="66" t="s">
        <v>429</v>
      </c>
      <c r="H361" s="66">
        <f>1009027+5899000</f>
        <v>6908027</v>
      </c>
      <c r="I361" s="66">
        <f t="shared" si="12"/>
        <v>0</v>
      </c>
      <c r="J361" s="66">
        <f>1009027+5899000</f>
        <v>6908027</v>
      </c>
    </row>
    <row r="362" spans="2:10" x14ac:dyDescent="0.2">
      <c r="B362" s="74" t="s">
        <v>332</v>
      </c>
      <c r="C362" s="66" t="s">
        <v>570</v>
      </c>
      <c r="D362" s="63" t="s">
        <v>1043</v>
      </c>
      <c r="E362" s="63" t="s">
        <v>1031</v>
      </c>
      <c r="F362" s="66" t="s">
        <v>841</v>
      </c>
      <c r="G362" s="112">
        <v>612</v>
      </c>
      <c r="H362" s="66">
        <v>200000</v>
      </c>
      <c r="I362" s="66">
        <f t="shared" si="12"/>
        <v>-50000</v>
      </c>
      <c r="J362" s="66">
        <v>150000</v>
      </c>
    </row>
    <row r="363" spans="2:10" ht="42" x14ac:dyDescent="0.2">
      <c r="B363" s="74" t="s">
        <v>1153</v>
      </c>
      <c r="C363" s="63" t="s">
        <v>570</v>
      </c>
      <c r="D363" s="63" t="s">
        <v>1043</v>
      </c>
      <c r="E363" s="63" t="s">
        <v>1031</v>
      </c>
      <c r="F363" s="63" t="s">
        <v>994</v>
      </c>
      <c r="G363" s="63"/>
      <c r="H363" s="66">
        <f>H364</f>
        <v>5800</v>
      </c>
      <c r="I363" s="66">
        <f t="shared" si="12"/>
        <v>-600</v>
      </c>
      <c r="J363" s="66">
        <f>J364</f>
        <v>5200</v>
      </c>
    </row>
    <row r="364" spans="2:10" x14ac:dyDescent="0.2">
      <c r="B364" s="74" t="s">
        <v>332</v>
      </c>
      <c r="C364" s="63" t="s">
        <v>570</v>
      </c>
      <c r="D364" s="63" t="s">
        <v>1043</v>
      </c>
      <c r="E364" s="63" t="s">
        <v>1031</v>
      </c>
      <c r="F364" s="63" t="s">
        <v>994</v>
      </c>
      <c r="G364" s="63" t="s">
        <v>331</v>
      </c>
      <c r="H364" s="66">
        <v>5800</v>
      </c>
      <c r="I364" s="66">
        <f t="shared" si="12"/>
        <v>-600</v>
      </c>
      <c r="J364" s="66">
        <v>5200</v>
      </c>
    </row>
    <row r="365" spans="2:10" ht="31.5" x14ac:dyDescent="0.2">
      <c r="B365" s="74" t="s">
        <v>1261</v>
      </c>
      <c r="C365" s="63" t="s">
        <v>570</v>
      </c>
      <c r="D365" s="63" t="s">
        <v>1043</v>
      </c>
      <c r="E365" s="63" t="s">
        <v>1031</v>
      </c>
      <c r="F365" s="63" t="s">
        <v>1260</v>
      </c>
      <c r="G365" s="63"/>
      <c r="H365" s="66">
        <f>H366</f>
        <v>0</v>
      </c>
      <c r="I365" s="66">
        <f t="shared" si="12"/>
        <v>100000</v>
      </c>
      <c r="J365" s="66">
        <f>J366</f>
        <v>100000</v>
      </c>
    </row>
    <row r="366" spans="2:10" x14ac:dyDescent="0.2">
      <c r="B366" s="74" t="s">
        <v>332</v>
      </c>
      <c r="C366" s="63" t="s">
        <v>570</v>
      </c>
      <c r="D366" s="63" t="s">
        <v>1043</v>
      </c>
      <c r="E366" s="63" t="s">
        <v>1031</v>
      </c>
      <c r="F366" s="63" t="s">
        <v>1260</v>
      </c>
      <c r="G366" s="63" t="s">
        <v>331</v>
      </c>
      <c r="H366" s="66">
        <v>0</v>
      </c>
      <c r="I366" s="66">
        <f t="shared" si="12"/>
        <v>100000</v>
      </c>
      <c r="J366" s="66">
        <v>100000</v>
      </c>
    </row>
    <row r="367" spans="2:10" ht="52.5" x14ac:dyDescent="0.2">
      <c r="B367" s="74" t="s">
        <v>1234</v>
      </c>
      <c r="C367" s="63" t="s">
        <v>570</v>
      </c>
      <c r="D367" s="63" t="s">
        <v>1043</v>
      </c>
      <c r="E367" s="63" t="s">
        <v>1031</v>
      </c>
      <c r="F367" s="63" t="s">
        <v>1231</v>
      </c>
      <c r="G367" s="63"/>
      <c r="H367" s="66">
        <f>H368</f>
        <v>0</v>
      </c>
      <c r="I367" s="66">
        <f t="shared" si="12"/>
        <v>50000</v>
      </c>
      <c r="J367" s="66">
        <f>J368</f>
        <v>50000</v>
      </c>
    </row>
    <row r="368" spans="2:10" ht="52.5" x14ac:dyDescent="0.2">
      <c r="B368" s="74" t="s">
        <v>1235</v>
      </c>
      <c r="C368" s="63" t="s">
        <v>570</v>
      </c>
      <c r="D368" s="63" t="s">
        <v>1043</v>
      </c>
      <c r="E368" s="63" t="s">
        <v>1031</v>
      </c>
      <c r="F368" s="63" t="s">
        <v>1232</v>
      </c>
      <c r="G368" s="63"/>
      <c r="H368" s="66">
        <f>H369</f>
        <v>0</v>
      </c>
      <c r="I368" s="66">
        <f t="shared" si="12"/>
        <v>50000</v>
      </c>
      <c r="J368" s="66">
        <f>J369</f>
        <v>50000</v>
      </c>
    </row>
    <row r="369" spans="2:10" x14ac:dyDescent="0.2">
      <c r="B369" s="74" t="s">
        <v>332</v>
      </c>
      <c r="C369" s="63" t="s">
        <v>570</v>
      </c>
      <c r="D369" s="63" t="s">
        <v>1043</v>
      </c>
      <c r="E369" s="63" t="s">
        <v>1031</v>
      </c>
      <c r="F369" s="63" t="s">
        <v>1232</v>
      </c>
      <c r="G369" s="63" t="s">
        <v>331</v>
      </c>
      <c r="H369" s="66">
        <v>0</v>
      </c>
      <c r="I369" s="66">
        <f t="shared" si="12"/>
        <v>50000</v>
      </c>
      <c r="J369" s="66">
        <v>50000</v>
      </c>
    </row>
    <row r="370" spans="2:10" ht="63" x14ac:dyDescent="0.2">
      <c r="B370" s="74" t="s">
        <v>1104</v>
      </c>
      <c r="C370" s="66" t="s">
        <v>570</v>
      </c>
      <c r="D370" s="63" t="s">
        <v>1043</v>
      </c>
      <c r="E370" s="63" t="s">
        <v>1031</v>
      </c>
      <c r="F370" s="76" t="s">
        <v>843</v>
      </c>
      <c r="G370" s="66"/>
      <c r="H370" s="66">
        <f>H371</f>
        <v>342000</v>
      </c>
      <c r="I370" s="66">
        <f t="shared" si="12"/>
        <v>0</v>
      </c>
      <c r="J370" s="66">
        <f>J371</f>
        <v>342000</v>
      </c>
    </row>
    <row r="371" spans="2:10" ht="52.5" x14ac:dyDescent="0.2">
      <c r="B371" s="74" t="s">
        <v>1105</v>
      </c>
      <c r="C371" s="66" t="s">
        <v>570</v>
      </c>
      <c r="D371" s="63" t="s">
        <v>1043</v>
      </c>
      <c r="E371" s="63" t="s">
        <v>1031</v>
      </c>
      <c r="F371" s="66" t="s">
        <v>766</v>
      </c>
      <c r="G371" s="66"/>
      <c r="H371" s="66">
        <f>H372</f>
        <v>342000</v>
      </c>
      <c r="I371" s="66">
        <f t="shared" si="12"/>
        <v>0</v>
      </c>
      <c r="J371" s="66">
        <f>J372</f>
        <v>342000</v>
      </c>
    </row>
    <row r="372" spans="2:10" ht="31.5" x14ac:dyDescent="0.2">
      <c r="B372" s="74" t="s">
        <v>437</v>
      </c>
      <c r="C372" s="66" t="s">
        <v>570</v>
      </c>
      <c r="D372" s="63" t="s">
        <v>1043</v>
      </c>
      <c r="E372" s="63" t="s">
        <v>1031</v>
      </c>
      <c r="F372" s="66" t="s">
        <v>766</v>
      </c>
      <c r="G372" s="66" t="s">
        <v>429</v>
      </c>
      <c r="H372" s="66">
        <v>342000</v>
      </c>
      <c r="I372" s="66">
        <f t="shared" si="12"/>
        <v>0</v>
      </c>
      <c r="J372" s="66">
        <v>342000</v>
      </c>
    </row>
    <row r="373" spans="2:10" x14ac:dyDescent="0.2">
      <c r="B373" s="109" t="s">
        <v>419</v>
      </c>
      <c r="C373" s="63" t="s">
        <v>570</v>
      </c>
      <c r="D373" s="108" t="s">
        <v>1043</v>
      </c>
      <c r="E373" s="64" t="s">
        <v>1034</v>
      </c>
      <c r="F373" s="64"/>
      <c r="G373" s="63"/>
      <c r="H373" s="66">
        <f>H377+H387+H392+H384+H374</f>
        <v>4257140</v>
      </c>
      <c r="I373" s="66">
        <f t="shared" si="12"/>
        <v>244000</v>
      </c>
      <c r="J373" s="66">
        <f>J377+J387+J392+J384+J374</f>
        <v>4501140</v>
      </c>
    </row>
    <row r="374" spans="2:10" ht="42" x14ac:dyDescent="0.2">
      <c r="B374" s="109" t="s">
        <v>1243</v>
      </c>
      <c r="C374" s="63" t="s">
        <v>570</v>
      </c>
      <c r="D374" s="108" t="s">
        <v>1043</v>
      </c>
      <c r="E374" s="64" t="s">
        <v>1034</v>
      </c>
      <c r="F374" s="64" t="s">
        <v>1242</v>
      </c>
      <c r="G374" s="63"/>
      <c r="H374" s="66">
        <f>H375</f>
        <v>0</v>
      </c>
      <c r="I374" s="66">
        <f t="shared" si="12"/>
        <v>244000</v>
      </c>
      <c r="J374" s="66">
        <f>J375</f>
        <v>244000</v>
      </c>
    </row>
    <row r="375" spans="2:10" x14ac:dyDescent="0.2">
      <c r="B375" s="109" t="s">
        <v>431</v>
      </c>
      <c r="C375" s="63" t="s">
        <v>570</v>
      </c>
      <c r="D375" s="108" t="s">
        <v>1043</v>
      </c>
      <c r="E375" s="64" t="s">
        <v>1034</v>
      </c>
      <c r="F375" s="64" t="s">
        <v>1242</v>
      </c>
      <c r="G375" s="63" t="s">
        <v>424</v>
      </c>
      <c r="H375" s="66">
        <v>0</v>
      </c>
      <c r="I375" s="66">
        <f t="shared" si="12"/>
        <v>244000</v>
      </c>
      <c r="J375" s="66">
        <v>244000</v>
      </c>
    </row>
    <row r="376" spans="2:10" ht="35.25" customHeight="1" x14ac:dyDescent="0.2">
      <c r="B376" s="109" t="s">
        <v>1169</v>
      </c>
      <c r="C376" s="63" t="s">
        <v>570</v>
      </c>
      <c r="D376" s="108" t="s">
        <v>1043</v>
      </c>
      <c r="E376" s="64" t="s">
        <v>1034</v>
      </c>
      <c r="F376" s="64" t="s">
        <v>846</v>
      </c>
      <c r="G376" s="63"/>
      <c r="H376" s="65">
        <f>H384+H377</f>
        <v>4257140</v>
      </c>
      <c r="I376" s="66">
        <f t="shared" si="12"/>
        <v>0</v>
      </c>
      <c r="J376" s="65">
        <f>J384+J377</f>
        <v>4257140</v>
      </c>
    </row>
    <row r="377" spans="2:10" ht="42" x14ac:dyDescent="0.2">
      <c r="B377" s="109" t="s">
        <v>1170</v>
      </c>
      <c r="C377" s="63" t="s">
        <v>570</v>
      </c>
      <c r="D377" s="108" t="s">
        <v>1043</v>
      </c>
      <c r="E377" s="64" t="s">
        <v>1034</v>
      </c>
      <c r="F377" s="64" t="s">
        <v>737</v>
      </c>
      <c r="G377" s="63"/>
      <c r="H377" s="65">
        <f>H378+H379+H380+H381+H382+H383</f>
        <v>3353540</v>
      </c>
      <c r="I377" s="66">
        <f t="shared" si="12"/>
        <v>0</v>
      </c>
      <c r="J377" s="65">
        <f>J378+J379+J380+J381+J382+J383</f>
        <v>3353540</v>
      </c>
    </row>
    <row r="378" spans="2:10" x14ac:dyDescent="0.2">
      <c r="B378" s="109" t="s">
        <v>431</v>
      </c>
      <c r="C378" s="63" t="s">
        <v>570</v>
      </c>
      <c r="D378" s="108" t="s">
        <v>1043</v>
      </c>
      <c r="E378" s="64" t="s">
        <v>1034</v>
      </c>
      <c r="F378" s="64" t="s">
        <v>737</v>
      </c>
      <c r="G378" s="63" t="s">
        <v>424</v>
      </c>
      <c r="H378" s="65">
        <f>1872150+565390</f>
        <v>2437540</v>
      </c>
      <c r="I378" s="66">
        <f t="shared" si="12"/>
        <v>0</v>
      </c>
      <c r="J378" s="65">
        <f>1872150+565390</f>
        <v>2437540</v>
      </c>
    </row>
    <row r="379" spans="2:10" ht="21" x14ac:dyDescent="0.2">
      <c r="B379" s="109" t="s">
        <v>432</v>
      </c>
      <c r="C379" s="63" t="s">
        <v>570</v>
      </c>
      <c r="D379" s="108" t="s">
        <v>1043</v>
      </c>
      <c r="E379" s="64" t="s">
        <v>1034</v>
      </c>
      <c r="F379" s="64" t="s">
        <v>737</v>
      </c>
      <c r="G379" s="63" t="s">
        <v>425</v>
      </c>
      <c r="H379" s="65">
        <f>3000+20000+5500</f>
        <v>28500</v>
      </c>
      <c r="I379" s="66">
        <f t="shared" si="12"/>
        <v>0</v>
      </c>
      <c r="J379" s="65">
        <f>3000+20000+5500</f>
        <v>28500</v>
      </c>
    </row>
    <row r="380" spans="2:10" ht="21" x14ac:dyDescent="0.2">
      <c r="B380" s="109" t="s">
        <v>433</v>
      </c>
      <c r="C380" s="63" t="s">
        <v>570</v>
      </c>
      <c r="D380" s="108" t="s">
        <v>1043</v>
      </c>
      <c r="E380" s="64" t="s">
        <v>1034</v>
      </c>
      <c r="F380" s="64" t="s">
        <v>737</v>
      </c>
      <c r="G380" s="63" t="s">
        <v>427</v>
      </c>
      <c r="H380" s="65">
        <f>55100+5000</f>
        <v>60100</v>
      </c>
      <c r="I380" s="66">
        <f t="shared" si="12"/>
        <v>0</v>
      </c>
      <c r="J380" s="65">
        <f>55100+5000</f>
        <v>60100</v>
      </c>
    </row>
    <row r="381" spans="2:10" ht="21" x14ac:dyDescent="0.2">
      <c r="B381" s="109" t="s">
        <v>434</v>
      </c>
      <c r="C381" s="63" t="s">
        <v>570</v>
      </c>
      <c r="D381" s="108" t="s">
        <v>1043</v>
      </c>
      <c r="E381" s="64" t="s">
        <v>1034</v>
      </c>
      <c r="F381" s="64" t="s">
        <v>737</v>
      </c>
      <c r="G381" s="63" t="s">
        <v>423</v>
      </c>
      <c r="H381" s="65">
        <f>395000+8000+24250+374600</f>
        <v>801850</v>
      </c>
      <c r="I381" s="66">
        <f t="shared" si="12"/>
        <v>0</v>
      </c>
      <c r="J381" s="65">
        <f>395000+8000+24250+374600</f>
        <v>801850</v>
      </c>
    </row>
    <row r="382" spans="2:10" ht="15.75" customHeight="1" x14ac:dyDescent="0.2">
      <c r="B382" s="109" t="s">
        <v>393</v>
      </c>
      <c r="C382" s="63" t="s">
        <v>570</v>
      </c>
      <c r="D382" s="108" t="s">
        <v>1043</v>
      </c>
      <c r="E382" s="64" t="s">
        <v>1034</v>
      </c>
      <c r="F382" s="64" t="s">
        <v>737</v>
      </c>
      <c r="G382" s="63" t="s">
        <v>330</v>
      </c>
      <c r="H382" s="65">
        <v>3100</v>
      </c>
      <c r="I382" s="66">
        <f t="shared" si="12"/>
        <v>0</v>
      </c>
      <c r="J382" s="65">
        <v>3100</v>
      </c>
    </row>
    <row r="383" spans="2:10" x14ac:dyDescent="0.2">
      <c r="B383" s="109" t="s">
        <v>954</v>
      </c>
      <c r="C383" s="63" t="s">
        <v>570</v>
      </c>
      <c r="D383" s="108" t="s">
        <v>1043</v>
      </c>
      <c r="E383" s="64" t="s">
        <v>1034</v>
      </c>
      <c r="F383" s="64" t="s">
        <v>737</v>
      </c>
      <c r="G383" s="63" t="s">
        <v>249</v>
      </c>
      <c r="H383" s="65">
        <v>22450</v>
      </c>
      <c r="I383" s="66">
        <f t="shared" si="12"/>
        <v>0</v>
      </c>
      <c r="J383" s="65">
        <v>22450</v>
      </c>
    </row>
    <row r="384" spans="2:10" ht="33.75" customHeight="1" x14ac:dyDescent="0.2">
      <c r="B384" s="109" t="s">
        <v>1171</v>
      </c>
      <c r="C384" s="63" t="s">
        <v>570</v>
      </c>
      <c r="D384" s="108" t="s">
        <v>1043</v>
      </c>
      <c r="E384" s="64" t="s">
        <v>1034</v>
      </c>
      <c r="F384" s="64" t="s">
        <v>917</v>
      </c>
      <c r="G384" s="63"/>
      <c r="H384" s="65">
        <f>H385</f>
        <v>903600</v>
      </c>
      <c r="I384" s="66">
        <f t="shared" si="12"/>
        <v>0</v>
      </c>
      <c r="J384" s="65">
        <f>J385</f>
        <v>903600</v>
      </c>
    </row>
    <row r="385" spans="2:10" x14ac:dyDescent="0.2">
      <c r="B385" s="109" t="s">
        <v>431</v>
      </c>
      <c r="C385" s="63" t="s">
        <v>570</v>
      </c>
      <c r="D385" s="108" t="s">
        <v>1043</v>
      </c>
      <c r="E385" s="64" t="s">
        <v>1034</v>
      </c>
      <c r="F385" s="64" t="s">
        <v>917</v>
      </c>
      <c r="G385" s="63" t="s">
        <v>424</v>
      </c>
      <c r="H385" s="65">
        <f>694000+209600</f>
        <v>903600</v>
      </c>
      <c r="I385" s="66">
        <f t="shared" si="12"/>
        <v>0</v>
      </c>
      <c r="J385" s="65">
        <f>694000+209600</f>
        <v>903600</v>
      </c>
    </row>
    <row r="386" spans="2:10" ht="42" hidden="1" x14ac:dyDescent="0.2">
      <c r="B386" s="109" t="s">
        <v>1154</v>
      </c>
      <c r="C386" s="63" t="s">
        <v>570</v>
      </c>
      <c r="D386" s="108" t="s">
        <v>1043</v>
      </c>
      <c r="E386" s="64" t="s">
        <v>1034</v>
      </c>
      <c r="F386" s="64" t="s">
        <v>848</v>
      </c>
      <c r="G386" s="63"/>
      <c r="H386" s="65">
        <f>H387</f>
        <v>0</v>
      </c>
      <c r="I386" s="66">
        <f t="shared" ref="I386:I406" si="14">J386-H386</f>
        <v>0</v>
      </c>
      <c r="J386" s="65">
        <f>J387</f>
        <v>0</v>
      </c>
    </row>
    <row r="387" spans="2:10" ht="42" hidden="1" x14ac:dyDescent="0.2">
      <c r="B387" s="109" t="s">
        <v>1155</v>
      </c>
      <c r="C387" s="63" t="s">
        <v>570</v>
      </c>
      <c r="D387" s="108" t="s">
        <v>1043</v>
      </c>
      <c r="E387" s="64" t="s">
        <v>1034</v>
      </c>
      <c r="F387" s="64" t="s">
        <v>850</v>
      </c>
      <c r="G387" s="63"/>
      <c r="H387" s="65">
        <f>H388+H389+H390</f>
        <v>0</v>
      </c>
      <c r="I387" s="66">
        <f t="shared" si="14"/>
        <v>0</v>
      </c>
      <c r="J387" s="65">
        <f>J388+J389+J390</f>
        <v>0</v>
      </c>
    </row>
    <row r="388" spans="2:10" hidden="1" x14ac:dyDescent="0.2">
      <c r="B388" s="109" t="s">
        <v>431</v>
      </c>
      <c r="C388" s="63" t="s">
        <v>570</v>
      </c>
      <c r="D388" s="108" t="s">
        <v>1043</v>
      </c>
      <c r="E388" s="64" t="s">
        <v>1034</v>
      </c>
      <c r="F388" s="64" t="s">
        <v>850</v>
      </c>
      <c r="G388" s="63" t="s">
        <v>424</v>
      </c>
      <c r="H388" s="65">
        <v>0</v>
      </c>
      <c r="I388" s="66">
        <f t="shared" si="14"/>
        <v>0</v>
      </c>
      <c r="J388" s="65">
        <v>0</v>
      </c>
    </row>
    <row r="389" spans="2:10" ht="21" hidden="1" x14ac:dyDescent="0.2">
      <c r="B389" s="109" t="s">
        <v>432</v>
      </c>
      <c r="C389" s="63" t="s">
        <v>570</v>
      </c>
      <c r="D389" s="108" t="s">
        <v>1043</v>
      </c>
      <c r="E389" s="64" t="s">
        <v>1034</v>
      </c>
      <c r="F389" s="64" t="s">
        <v>850</v>
      </c>
      <c r="G389" s="63" t="s">
        <v>425</v>
      </c>
      <c r="H389" s="65">
        <v>0</v>
      </c>
      <c r="I389" s="66">
        <f t="shared" si="14"/>
        <v>0</v>
      </c>
      <c r="J389" s="65">
        <v>0</v>
      </c>
    </row>
    <row r="390" spans="2:10" ht="21" hidden="1" x14ac:dyDescent="0.2">
      <c r="B390" s="109" t="s">
        <v>434</v>
      </c>
      <c r="C390" s="63" t="s">
        <v>570</v>
      </c>
      <c r="D390" s="108" t="s">
        <v>1043</v>
      </c>
      <c r="E390" s="64" t="s">
        <v>1034</v>
      </c>
      <c r="F390" s="64" t="s">
        <v>850</v>
      </c>
      <c r="G390" s="63" t="s">
        <v>423</v>
      </c>
      <c r="H390" s="65">
        <v>0</v>
      </c>
      <c r="I390" s="66">
        <f t="shared" si="14"/>
        <v>0</v>
      </c>
      <c r="J390" s="65">
        <v>0</v>
      </c>
    </row>
    <row r="391" spans="2:10" ht="84" hidden="1" x14ac:dyDescent="0.2">
      <c r="B391" s="109" t="s">
        <v>1012</v>
      </c>
      <c r="C391" s="63" t="s">
        <v>570</v>
      </c>
      <c r="D391" s="108" t="s">
        <v>1043</v>
      </c>
      <c r="E391" s="64" t="s">
        <v>1034</v>
      </c>
      <c r="F391" s="63" t="s">
        <v>788</v>
      </c>
      <c r="G391" s="63"/>
      <c r="H391" s="65">
        <f t="shared" ref="H391:J392" si="15">H392</f>
        <v>0</v>
      </c>
      <c r="I391" s="66">
        <f t="shared" si="14"/>
        <v>0</v>
      </c>
      <c r="J391" s="65">
        <f t="shared" si="15"/>
        <v>0</v>
      </c>
    </row>
    <row r="392" spans="2:10" ht="84" hidden="1" x14ac:dyDescent="0.2">
      <c r="B392" s="109" t="s">
        <v>1122</v>
      </c>
      <c r="C392" s="63" t="s">
        <v>570</v>
      </c>
      <c r="D392" s="108" t="s">
        <v>1043</v>
      </c>
      <c r="E392" s="64" t="s">
        <v>1034</v>
      </c>
      <c r="F392" s="63" t="s">
        <v>721</v>
      </c>
      <c r="G392" s="63"/>
      <c r="H392" s="65">
        <f t="shared" si="15"/>
        <v>0</v>
      </c>
      <c r="I392" s="66">
        <f t="shared" si="14"/>
        <v>0</v>
      </c>
      <c r="J392" s="65">
        <f t="shared" si="15"/>
        <v>0</v>
      </c>
    </row>
    <row r="393" spans="2:10" ht="21" hidden="1" x14ac:dyDescent="0.2">
      <c r="B393" s="109" t="s">
        <v>434</v>
      </c>
      <c r="C393" s="63" t="s">
        <v>570</v>
      </c>
      <c r="D393" s="108" t="s">
        <v>1043</v>
      </c>
      <c r="E393" s="64" t="s">
        <v>1034</v>
      </c>
      <c r="F393" s="63" t="s">
        <v>721</v>
      </c>
      <c r="G393" s="63" t="s">
        <v>423</v>
      </c>
      <c r="H393" s="65">
        <v>0</v>
      </c>
      <c r="I393" s="66">
        <f t="shared" si="14"/>
        <v>0</v>
      </c>
      <c r="J393" s="65">
        <v>0</v>
      </c>
    </row>
    <row r="394" spans="2:10" ht="34.5" customHeight="1" x14ac:dyDescent="0.2">
      <c r="B394" s="78" t="s">
        <v>1123</v>
      </c>
      <c r="C394" s="70" t="s">
        <v>588</v>
      </c>
      <c r="D394" s="70"/>
      <c r="E394" s="73"/>
      <c r="F394" s="70"/>
      <c r="G394" s="70"/>
      <c r="H394" s="68">
        <f>H395+H417+H473+H481+H491+H507</f>
        <v>290493270.29999995</v>
      </c>
      <c r="I394" s="68">
        <f t="shared" si="14"/>
        <v>15243120.030000031</v>
      </c>
      <c r="J394" s="68">
        <f>J395+J417+J473+J481+J491+J507</f>
        <v>305736390.32999998</v>
      </c>
    </row>
    <row r="395" spans="2:10" x14ac:dyDescent="0.2">
      <c r="B395" s="74" t="s">
        <v>414</v>
      </c>
      <c r="C395" s="63" t="s">
        <v>588</v>
      </c>
      <c r="D395" s="63" t="s">
        <v>1036</v>
      </c>
      <c r="E395" s="63" t="s">
        <v>1031</v>
      </c>
      <c r="F395" s="70"/>
      <c r="G395" s="70"/>
      <c r="H395" s="66">
        <f>H397+H401+H410+H405+H407+H412+H403+H415</f>
        <v>59527003.539999999</v>
      </c>
      <c r="I395" s="66">
        <f t="shared" si="14"/>
        <v>337235</v>
      </c>
      <c r="J395" s="66">
        <f>J397+J401+J410+J405+J407+J412+J403+J415</f>
        <v>59864238.539999999</v>
      </c>
    </row>
    <row r="396" spans="2:10" ht="52.5" x14ac:dyDescent="0.2">
      <c r="B396" s="74" t="s">
        <v>1156</v>
      </c>
      <c r="C396" s="63" t="s">
        <v>588</v>
      </c>
      <c r="D396" s="63" t="s">
        <v>1036</v>
      </c>
      <c r="E396" s="63" t="s">
        <v>1031</v>
      </c>
      <c r="F396" s="63" t="s">
        <v>852</v>
      </c>
      <c r="G396" s="70"/>
      <c r="H396" s="66">
        <f>H397+H401</f>
        <v>30399103.539999999</v>
      </c>
      <c r="I396" s="66">
        <f t="shared" si="14"/>
        <v>254815</v>
      </c>
      <c r="J396" s="66">
        <f>J397+J401</f>
        <v>30653918.539999999</v>
      </c>
    </row>
    <row r="397" spans="2:10" ht="42" x14ac:dyDescent="0.2">
      <c r="B397" s="74" t="s">
        <v>1106</v>
      </c>
      <c r="C397" s="63" t="s">
        <v>588</v>
      </c>
      <c r="D397" s="63" t="s">
        <v>1036</v>
      </c>
      <c r="E397" s="63" t="s">
        <v>1031</v>
      </c>
      <c r="F397" s="63" t="s">
        <v>854</v>
      </c>
      <c r="G397" s="63"/>
      <c r="H397" s="66">
        <f>H398+H399+H400</f>
        <v>30219955.539999999</v>
      </c>
      <c r="I397" s="66">
        <f t="shared" si="14"/>
        <v>174815</v>
      </c>
      <c r="J397" s="66">
        <f>J398+J399+J400</f>
        <v>30394770.539999999</v>
      </c>
    </row>
    <row r="398" spans="2:10" ht="21" hidden="1" x14ac:dyDescent="0.2">
      <c r="B398" s="74" t="s">
        <v>434</v>
      </c>
      <c r="C398" s="63" t="s">
        <v>588</v>
      </c>
      <c r="D398" s="63" t="s">
        <v>1036</v>
      </c>
      <c r="E398" s="63" t="s">
        <v>1031</v>
      </c>
      <c r="F398" s="63" t="s">
        <v>854</v>
      </c>
      <c r="G398" s="63" t="s">
        <v>423</v>
      </c>
      <c r="H398" s="66">
        <v>0</v>
      </c>
      <c r="I398" s="66">
        <f t="shared" si="14"/>
        <v>0</v>
      </c>
      <c r="J398" s="66">
        <v>0</v>
      </c>
    </row>
    <row r="399" spans="2:10" ht="31.5" x14ac:dyDescent="0.2">
      <c r="B399" s="74" t="s">
        <v>437</v>
      </c>
      <c r="C399" s="63" t="s">
        <v>588</v>
      </c>
      <c r="D399" s="63" t="s">
        <v>1036</v>
      </c>
      <c r="E399" s="63" t="s">
        <v>1031</v>
      </c>
      <c r="F399" s="63" t="s">
        <v>854</v>
      </c>
      <c r="G399" s="63">
        <v>611</v>
      </c>
      <c r="H399" s="66">
        <v>30219955.539999999</v>
      </c>
      <c r="I399" s="66">
        <f t="shared" si="14"/>
        <v>0</v>
      </c>
      <c r="J399" s="66">
        <v>30219955.539999999</v>
      </c>
    </row>
    <row r="400" spans="2:10" x14ac:dyDescent="0.2">
      <c r="B400" s="74" t="s">
        <v>332</v>
      </c>
      <c r="C400" s="63" t="s">
        <v>588</v>
      </c>
      <c r="D400" s="63" t="s">
        <v>1036</v>
      </c>
      <c r="E400" s="63" t="s">
        <v>1031</v>
      </c>
      <c r="F400" s="63" t="s">
        <v>854</v>
      </c>
      <c r="G400" s="63" t="s">
        <v>331</v>
      </c>
      <c r="H400" s="66">
        <v>0</v>
      </c>
      <c r="I400" s="66">
        <f t="shared" si="14"/>
        <v>174815</v>
      </c>
      <c r="J400" s="66">
        <v>174815</v>
      </c>
    </row>
    <row r="401" spans="2:10" ht="42" x14ac:dyDescent="0.2">
      <c r="B401" s="74" t="s">
        <v>1157</v>
      </c>
      <c r="C401" s="63" t="s">
        <v>588</v>
      </c>
      <c r="D401" s="63" t="s">
        <v>1036</v>
      </c>
      <c r="E401" s="63" t="s">
        <v>1031</v>
      </c>
      <c r="F401" s="63" t="s">
        <v>746</v>
      </c>
      <c r="G401" s="63"/>
      <c r="H401" s="66">
        <f>H402</f>
        <v>179148</v>
      </c>
      <c r="I401" s="66">
        <f t="shared" si="14"/>
        <v>80000</v>
      </c>
      <c r="J401" s="66">
        <f>J402</f>
        <v>259148</v>
      </c>
    </row>
    <row r="402" spans="2:10" ht="31.5" x14ac:dyDescent="0.2">
      <c r="B402" s="74" t="s">
        <v>437</v>
      </c>
      <c r="C402" s="63" t="s">
        <v>588</v>
      </c>
      <c r="D402" s="63" t="s">
        <v>1036</v>
      </c>
      <c r="E402" s="63" t="s">
        <v>1031</v>
      </c>
      <c r="F402" s="63" t="s">
        <v>746</v>
      </c>
      <c r="G402" s="63">
        <v>611</v>
      </c>
      <c r="H402" s="66">
        <v>179148</v>
      </c>
      <c r="I402" s="66">
        <f t="shared" si="14"/>
        <v>80000</v>
      </c>
      <c r="J402" s="66">
        <v>259148</v>
      </c>
    </row>
    <row r="403" spans="2:10" ht="52.5" hidden="1" x14ac:dyDescent="0.2">
      <c r="B403" s="74" t="s">
        <v>1158</v>
      </c>
      <c r="C403" s="63" t="s">
        <v>588</v>
      </c>
      <c r="D403" s="63" t="s">
        <v>1036</v>
      </c>
      <c r="E403" s="63" t="s">
        <v>1031</v>
      </c>
      <c r="F403" s="63" t="s">
        <v>1051</v>
      </c>
      <c r="G403" s="63"/>
      <c r="H403" s="66">
        <f>H404</f>
        <v>0</v>
      </c>
      <c r="I403" s="66">
        <f t="shared" si="14"/>
        <v>0</v>
      </c>
      <c r="J403" s="66">
        <f>J404</f>
        <v>0</v>
      </c>
    </row>
    <row r="404" spans="2:10" ht="31.5" hidden="1" x14ac:dyDescent="0.2">
      <c r="B404" s="74" t="s">
        <v>437</v>
      </c>
      <c r="C404" s="63" t="s">
        <v>588</v>
      </c>
      <c r="D404" s="63" t="s">
        <v>1036</v>
      </c>
      <c r="E404" s="63" t="s">
        <v>1031</v>
      </c>
      <c r="F404" s="63" t="s">
        <v>1051</v>
      </c>
      <c r="G404" s="63">
        <v>611</v>
      </c>
      <c r="H404" s="66">
        <v>0</v>
      </c>
      <c r="I404" s="66">
        <f t="shared" si="14"/>
        <v>0</v>
      </c>
      <c r="J404" s="66">
        <v>0</v>
      </c>
    </row>
    <row r="405" spans="2:10" ht="52.5" x14ac:dyDescent="0.2">
      <c r="B405" s="107" t="s">
        <v>1124</v>
      </c>
      <c r="C405" s="63" t="s">
        <v>588</v>
      </c>
      <c r="D405" s="63" t="s">
        <v>1036</v>
      </c>
      <c r="E405" s="63" t="s">
        <v>1031</v>
      </c>
      <c r="F405" s="63" t="s">
        <v>856</v>
      </c>
      <c r="G405" s="63"/>
      <c r="H405" s="66">
        <f>H406</f>
        <v>29052900</v>
      </c>
      <c r="I405" s="66">
        <f t="shared" si="14"/>
        <v>0</v>
      </c>
      <c r="J405" s="66">
        <f>J406</f>
        <v>29052900</v>
      </c>
    </row>
    <row r="406" spans="2:10" ht="31.5" x14ac:dyDescent="0.2">
      <c r="B406" s="74" t="s">
        <v>437</v>
      </c>
      <c r="C406" s="63" t="s">
        <v>588</v>
      </c>
      <c r="D406" s="63" t="s">
        <v>1036</v>
      </c>
      <c r="E406" s="63" t="s">
        <v>1031</v>
      </c>
      <c r="F406" s="63" t="s">
        <v>856</v>
      </c>
      <c r="G406" s="63">
        <v>611</v>
      </c>
      <c r="H406" s="66">
        <v>29052900</v>
      </c>
      <c r="I406" s="66">
        <f t="shared" si="14"/>
        <v>0</v>
      </c>
      <c r="J406" s="66">
        <v>29052900</v>
      </c>
    </row>
    <row r="407" spans="2:10" ht="63" x14ac:dyDescent="0.2">
      <c r="B407" s="107" t="s">
        <v>1125</v>
      </c>
      <c r="C407" s="63" t="s">
        <v>588</v>
      </c>
      <c r="D407" s="63" t="s">
        <v>1036</v>
      </c>
      <c r="E407" s="63" t="s">
        <v>1031</v>
      </c>
      <c r="F407" s="63" t="s">
        <v>857</v>
      </c>
      <c r="G407" s="63"/>
      <c r="H407" s="66">
        <f>H409+H408</f>
        <v>75000</v>
      </c>
      <c r="I407" s="66">
        <f t="shared" ref="I407:I470" si="16">J407-H407</f>
        <v>0</v>
      </c>
      <c r="J407" s="66">
        <f>J409+J408</f>
        <v>75000</v>
      </c>
    </row>
    <row r="408" spans="2:10" ht="31.5" x14ac:dyDescent="0.2">
      <c r="B408" s="74" t="s">
        <v>437</v>
      </c>
      <c r="C408" s="63" t="s">
        <v>588</v>
      </c>
      <c r="D408" s="63" t="s">
        <v>1036</v>
      </c>
      <c r="E408" s="63" t="s">
        <v>1031</v>
      </c>
      <c r="F408" s="63" t="s">
        <v>857</v>
      </c>
      <c r="G408" s="63">
        <v>611</v>
      </c>
      <c r="H408" s="66">
        <v>75000</v>
      </c>
      <c r="I408" s="66">
        <f t="shared" si="16"/>
        <v>0</v>
      </c>
      <c r="J408" s="66">
        <v>75000</v>
      </c>
    </row>
    <row r="409" spans="2:10" hidden="1" x14ac:dyDescent="0.2">
      <c r="B409" s="74" t="s">
        <v>332</v>
      </c>
      <c r="C409" s="63" t="s">
        <v>588</v>
      </c>
      <c r="D409" s="63" t="s">
        <v>1036</v>
      </c>
      <c r="E409" s="63" t="s">
        <v>1031</v>
      </c>
      <c r="F409" s="63" t="s">
        <v>857</v>
      </c>
      <c r="G409" s="63" t="s">
        <v>331</v>
      </c>
      <c r="H409" s="66">
        <v>0</v>
      </c>
      <c r="I409" s="66">
        <f t="shared" si="16"/>
        <v>0</v>
      </c>
      <c r="J409" s="66">
        <v>0</v>
      </c>
    </row>
    <row r="410" spans="2:10" hidden="1" x14ac:dyDescent="0.2">
      <c r="B410" s="74"/>
      <c r="C410" s="63" t="s">
        <v>588</v>
      </c>
      <c r="D410" s="63" t="s">
        <v>1036</v>
      </c>
      <c r="E410" s="63" t="s">
        <v>1031</v>
      </c>
      <c r="F410" s="63" t="s">
        <v>743</v>
      </c>
      <c r="G410" s="63"/>
      <c r="H410" s="66">
        <f>H411</f>
        <v>0</v>
      </c>
      <c r="I410" s="66">
        <f t="shared" si="16"/>
        <v>0</v>
      </c>
      <c r="J410" s="66">
        <f>J411</f>
        <v>0</v>
      </c>
    </row>
    <row r="411" spans="2:10" hidden="1" x14ac:dyDescent="0.2">
      <c r="B411" s="74"/>
      <c r="C411" s="63" t="s">
        <v>588</v>
      </c>
      <c r="D411" s="63" t="s">
        <v>1036</v>
      </c>
      <c r="E411" s="63" t="s">
        <v>1031</v>
      </c>
      <c r="F411" s="63" t="s">
        <v>743</v>
      </c>
      <c r="G411" s="63">
        <v>611</v>
      </c>
      <c r="H411" s="66">
        <v>0</v>
      </c>
      <c r="I411" s="66">
        <f t="shared" si="16"/>
        <v>0</v>
      </c>
      <c r="J411" s="66">
        <v>0</v>
      </c>
    </row>
    <row r="412" spans="2:10" ht="21" hidden="1" x14ac:dyDescent="0.2">
      <c r="B412" s="74" t="s">
        <v>71</v>
      </c>
      <c r="C412" s="63" t="s">
        <v>588</v>
      </c>
      <c r="D412" s="63" t="s">
        <v>1036</v>
      </c>
      <c r="E412" s="63" t="s">
        <v>1031</v>
      </c>
      <c r="F412" s="63">
        <v>4219900</v>
      </c>
      <c r="G412" s="63"/>
      <c r="H412" s="66">
        <f>H413</f>
        <v>0</v>
      </c>
      <c r="I412" s="66">
        <f t="shared" si="16"/>
        <v>0</v>
      </c>
      <c r="J412" s="66">
        <f>J413</f>
        <v>0</v>
      </c>
    </row>
    <row r="413" spans="2:10" ht="31.5" hidden="1" x14ac:dyDescent="0.2">
      <c r="B413" s="74" t="s">
        <v>437</v>
      </c>
      <c r="C413" s="63" t="s">
        <v>588</v>
      </c>
      <c r="D413" s="63" t="s">
        <v>1036</v>
      </c>
      <c r="E413" s="63" t="s">
        <v>1031</v>
      </c>
      <c r="F413" s="63">
        <v>4219900</v>
      </c>
      <c r="G413" s="63">
        <v>611</v>
      </c>
      <c r="H413" s="66">
        <v>0</v>
      </c>
      <c r="I413" s="66">
        <f t="shared" si="16"/>
        <v>0</v>
      </c>
      <c r="J413" s="66">
        <v>0</v>
      </c>
    </row>
    <row r="414" spans="2:10" ht="63" x14ac:dyDescent="0.2">
      <c r="B414" s="74" t="s">
        <v>1246</v>
      </c>
      <c r="C414" s="63" t="s">
        <v>588</v>
      </c>
      <c r="D414" s="63" t="s">
        <v>1036</v>
      </c>
      <c r="E414" s="63" t="s">
        <v>1031</v>
      </c>
      <c r="F414" s="63" t="s">
        <v>782</v>
      </c>
      <c r="G414" s="63"/>
      <c r="H414" s="66">
        <f>H415</f>
        <v>0</v>
      </c>
      <c r="I414" s="66">
        <f t="shared" si="16"/>
        <v>82420</v>
      </c>
      <c r="J414" s="66">
        <f>J415</f>
        <v>82420</v>
      </c>
    </row>
    <row r="415" spans="2:10" ht="52.5" x14ac:dyDescent="0.2">
      <c r="B415" s="74" t="s">
        <v>1228</v>
      </c>
      <c r="C415" s="63" t="s">
        <v>588</v>
      </c>
      <c r="D415" s="63" t="s">
        <v>1036</v>
      </c>
      <c r="E415" s="63" t="s">
        <v>1031</v>
      </c>
      <c r="F415" s="63" t="s">
        <v>971</v>
      </c>
      <c r="G415" s="63"/>
      <c r="H415" s="66">
        <f>H416</f>
        <v>0</v>
      </c>
      <c r="I415" s="66">
        <f t="shared" si="16"/>
        <v>82420</v>
      </c>
      <c r="J415" s="66">
        <f>J416</f>
        <v>82420</v>
      </c>
    </row>
    <row r="416" spans="2:10" x14ac:dyDescent="0.2">
      <c r="B416" s="74" t="s">
        <v>332</v>
      </c>
      <c r="C416" s="63" t="s">
        <v>588</v>
      </c>
      <c r="D416" s="63" t="s">
        <v>1036</v>
      </c>
      <c r="E416" s="63" t="s">
        <v>1031</v>
      </c>
      <c r="F416" s="63" t="s">
        <v>971</v>
      </c>
      <c r="G416" s="63" t="s">
        <v>331</v>
      </c>
      <c r="H416" s="66">
        <v>0</v>
      </c>
      <c r="I416" s="66">
        <f t="shared" si="16"/>
        <v>82420</v>
      </c>
      <c r="J416" s="66">
        <v>82420</v>
      </c>
    </row>
    <row r="417" spans="2:10" x14ac:dyDescent="0.2">
      <c r="B417" s="74" t="s">
        <v>529</v>
      </c>
      <c r="C417" s="63" t="s">
        <v>588</v>
      </c>
      <c r="D417" s="63" t="s">
        <v>1036</v>
      </c>
      <c r="E417" s="63" t="s">
        <v>1032</v>
      </c>
      <c r="F417" s="63"/>
      <c r="G417" s="63"/>
      <c r="H417" s="66">
        <f>H421+H424+H438+H441+H448+H450+H455+H465+H471+H445+H452+H426+H428+H430+H461+H433+H418+H435+H458+H468</f>
        <v>207653420.75999999</v>
      </c>
      <c r="I417" s="66">
        <f t="shared" si="16"/>
        <v>14438867.030000001</v>
      </c>
      <c r="J417" s="66">
        <f>J421+J424+J438+J441+J448+J450+J455+J465+J471+J445+J452+J426+J428+J430+J461+J433+J418+J435+J458+J468</f>
        <v>222092287.78999999</v>
      </c>
    </row>
    <row r="418" spans="2:10" ht="52.5" x14ac:dyDescent="0.2">
      <c r="B418" s="74" t="s">
        <v>1245</v>
      </c>
      <c r="C418" s="63" t="s">
        <v>588</v>
      </c>
      <c r="D418" s="63" t="s">
        <v>1036</v>
      </c>
      <c r="E418" s="63" t="s">
        <v>1032</v>
      </c>
      <c r="F418" s="63" t="s">
        <v>1244</v>
      </c>
      <c r="G418" s="63"/>
      <c r="H418" s="66">
        <f>H419</f>
        <v>0</v>
      </c>
      <c r="I418" s="66">
        <f t="shared" si="16"/>
        <v>355123</v>
      </c>
      <c r="J418" s="66">
        <f>J419</f>
        <v>355123</v>
      </c>
    </row>
    <row r="419" spans="2:10" ht="31.5" x14ac:dyDescent="0.2">
      <c r="B419" s="74" t="s">
        <v>437</v>
      </c>
      <c r="C419" s="63" t="s">
        <v>588</v>
      </c>
      <c r="D419" s="63" t="s">
        <v>1036</v>
      </c>
      <c r="E419" s="63" t="s">
        <v>1032</v>
      </c>
      <c r="F419" s="63" t="s">
        <v>1244</v>
      </c>
      <c r="G419" s="63" t="s">
        <v>429</v>
      </c>
      <c r="H419" s="66">
        <v>0</v>
      </c>
      <c r="I419" s="66">
        <f t="shared" si="16"/>
        <v>355123</v>
      </c>
      <c r="J419" s="66">
        <v>355123</v>
      </c>
    </row>
    <row r="420" spans="2:10" ht="52.5" x14ac:dyDescent="0.2">
      <c r="B420" s="74" t="s">
        <v>1007</v>
      </c>
      <c r="C420" s="63" t="s">
        <v>588</v>
      </c>
      <c r="D420" s="63" t="s">
        <v>1036</v>
      </c>
      <c r="E420" s="63" t="s">
        <v>1032</v>
      </c>
      <c r="F420" s="63" t="s">
        <v>858</v>
      </c>
      <c r="G420" s="63"/>
      <c r="H420" s="66">
        <f>H421+H424</f>
        <v>3218440</v>
      </c>
      <c r="I420" s="66">
        <f t="shared" si="16"/>
        <v>172740</v>
      </c>
      <c r="J420" s="66">
        <f>J421+J424</f>
        <v>3391180</v>
      </c>
    </row>
    <row r="421" spans="2:10" ht="52.5" x14ac:dyDescent="0.2">
      <c r="B421" s="74" t="s">
        <v>1107</v>
      </c>
      <c r="C421" s="63" t="s">
        <v>588</v>
      </c>
      <c r="D421" s="63" t="s">
        <v>1036</v>
      </c>
      <c r="E421" s="63" t="s">
        <v>1032</v>
      </c>
      <c r="F421" s="63" t="s">
        <v>717</v>
      </c>
      <c r="G421" s="63"/>
      <c r="H421" s="66">
        <f>H422+H423</f>
        <v>3218440</v>
      </c>
      <c r="I421" s="66">
        <f t="shared" si="16"/>
        <v>172740</v>
      </c>
      <c r="J421" s="66">
        <f>J422+J423</f>
        <v>3391180</v>
      </c>
    </row>
    <row r="422" spans="2:10" ht="31.5" x14ac:dyDescent="0.2">
      <c r="B422" s="74" t="s">
        <v>437</v>
      </c>
      <c r="C422" s="63" t="s">
        <v>588</v>
      </c>
      <c r="D422" s="63" t="s">
        <v>1036</v>
      </c>
      <c r="E422" s="63" t="s">
        <v>1032</v>
      </c>
      <c r="F422" s="63" t="s">
        <v>717</v>
      </c>
      <c r="G422" s="63" t="s">
        <v>429</v>
      </c>
      <c r="H422" s="66">
        <f>236040+2982400</f>
        <v>3218440</v>
      </c>
      <c r="I422" s="66">
        <f t="shared" si="16"/>
        <v>170700</v>
      </c>
      <c r="J422" s="66">
        <v>3389140</v>
      </c>
    </row>
    <row r="423" spans="2:10" x14ac:dyDescent="0.2">
      <c r="B423" s="74" t="s">
        <v>332</v>
      </c>
      <c r="C423" s="63" t="s">
        <v>588</v>
      </c>
      <c r="D423" s="63" t="s">
        <v>1036</v>
      </c>
      <c r="E423" s="63" t="s">
        <v>1032</v>
      </c>
      <c r="F423" s="63" t="s">
        <v>717</v>
      </c>
      <c r="G423" s="63" t="s">
        <v>331</v>
      </c>
      <c r="H423" s="66">
        <v>0</v>
      </c>
      <c r="I423" s="66">
        <f t="shared" si="16"/>
        <v>2040</v>
      </c>
      <c r="J423" s="66">
        <v>2040</v>
      </c>
    </row>
    <row r="424" spans="2:10" ht="63" hidden="1" x14ac:dyDescent="0.2">
      <c r="B424" s="74" t="s">
        <v>1126</v>
      </c>
      <c r="C424" s="63" t="s">
        <v>588</v>
      </c>
      <c r="D424" s="63" t="s">
        <v>1036</v>
      </c>
      <c r="E424" s="63" t="s">
        <v>1032</v>
      </c>
      <c r="F424" s="63" t="s">
        <v>719</v>
      </c>
      <c r="G424" s="63"/>
      <c r="H424" s="66">
        <f>H425</f>
        <v>0</v>
      </c>
      <c r="I424" s="66">
        <f t="shared" si="16"/>
        <v>0</v>
      </c>
      <c r="J424" s="66">
        <f>J425</f>
        <v>0</v>
      </c>
    </row>
    <row r="425" spans="2:10" ht="31.5" hidden="1" x14ac:dyDescent="0.2">
      <c r="B425" s="74" t="s">
        <v>437</v>
      </c>
      <c r="C425" s="63" t="s">
        <v>588</v>
      </c>
      <c r="D425" s="63" t="s">
        <v>1036</v>
      </c>
      <c r="E425" s="63" t="s">
        <v>1032</v>
      </c>
      <c r="F425" s="63" t="s">
        <v>719</v>
      </c>
      <c r="G425" s="63" t="s">
        <v>429</v>
      </c>
      <c r="H425" s="66">
        <v>0</v>
      </c>
      <c r="I425" s="66">
        <f t="shared" si="16"/>
        <v>0</v>
      </c>
      <c r="J425" s="66">
        <v>0</v>
      </c>
    </row>
    <row r="426" spans="2:10" ht="52.5" x14ac:dyDescent="0.2">
      <c r="B426" s="107" t="s">
        <v>1124</v>
      </c>
      <c r="C426" s="66" t="s">
        <v>588</v>
      </c>
      <c r="D426" s="63" t="s">
        <v>1036</v>
      </c>
      <c r="E426" s="63" t="s">
        <v>1032</v>
      </c>
      <c r="F426" s="66" t="s">
        <v>856</v>
      </c>
      <c r="G426" s="66"/>
      <c r="H426" s="66">
        <f>H427</f>
        <v>129555500</v>
      </c>
      <c r="I426" s="66">
        <f t="shared" si="16"/>
        <v>8347800</v>
      </c>
      <c r="J426" s="66">
        <f>J427</f>
        <v>137903300</v>
      </c>
    </row>
    <row r="427" spans="2:10" ht="31.5" x14ac:dyDescent="0.2">
      <c r="B427" s="74" t="s">
        <v>437</v>
      </c>
      <c r="C427" s="66" t="s">
        <v>588</v>
      </c>
      <c r="D427" s="63" t="s">
        <v>1036</v>
      </c>
      <c r="E427" s="63" t="s">
        <v>1032</v>
      </c>
      <c r="F427" s="66" t="s">
        <v>856</v>
      </c>
      <c r="G427" s="66" t="s">
        <v>429</v>
      </c>
      <c r="H427" s="66">
        <v>129555500</v>
      </c>
      <c r="I427" s="66">
        <f t="shared" si="16"/>
        <v>8347800</v>
      </c>
      <c r="J427" s="66">
        <v>137903300</v>
      </c>
    </row>
    <row r="428" spans="2:10" ht="42" x14ac:dyDescent="0.2">
      <c r="B428" s="107" t="s">
        <v>1137</v>
      </c>
      <c r="C428" s="66" t="s">
        <v>588</v>
      </c>
      <c r="D428" s="63" t="s">
        <v>1036</v>
      </c>
      <c r="E428" s="63" t="s">
        <v>1032</v>
      </c>
      <c r="F428" s="66" t="s">
        <v>861</v>
      </c>
      <c r="G428" s="66"/>
      <c r="H428" s="66">
        <f>H429</f>
        <v>2731000</v>
      </c>
      <c r="I428" s="66">
        <f t="shared" si="16"/>
        <v>0</v>
      </c>
      <c r="J428" s="66">
        <f>J429</f>
        <v>2731000</v>
      </c>
    </row>
    <row r="429" spans="2:10" ht="31.5" x14ac:dyDescent="0.2">
      <c r="B429" s="74" t="s">
        <v>437</v>
      </c>
      <c r="C429" s="66" t="s">
        <v>588</v>
      </c>
      <c r="D429" s="63" t="s">
        <v>1036</v>
      </c>
      <c r="E429" s="63" t="s">
        <v>1032</v>
      </c>
      <c r="F429" s="66" t="s">
        <v>861</v>
      </c>
      <c r="G429" s="66" t="s">
        <v>429</v>
      </c>
      <c r="H429" s="66">
        <v>2731000</v>
      </c>
      <c r="I429" s="66">
        <f t="shared" si="16"/>
        <v>0</v>
      </c>
      <c r="J429" s="66">
        <v>2731000</v>
      </c>
    </row>
    <row r="430" spans="2:10" ht="63" x14ac:dyDescent="0.2">
      <c r="B430" s="107" t="s">
        <v>1125</v>
      </c>
      <c r="C430" s="66" t="s">
        <v>588</v>
      </c>
      <c r="D430" s="63" t="s">
        <v>1036</v>
      </c>
      <c r="E430" s="63" t="s">
        <v>1032</v>
      </c>
      <c r="F430" s="66" t="s">
        <v>857</v>
      </c>
      <c r="G430" s="66"/>
      <c r="H430" s="66">
        <f>H432+H431</f>
        <v>1650600</v>
      </c>
      <c r="I430" s="66">
        <f t="shared" si="16"/>
        <v>0</v>
      </c>
      <c r="J430" s="66">
        <f>J432+J431</f>
        <v>1650600</v>
      </c>
    </row>
    <row r="431" spans="2:10" ht="31.5" x14ac:dyDescent="0.2">
      <c r="B431" s="74" t="s">
        <v>437</v>
      </c>
      <c r="C431" s="66" t="s">
        <v>588</v>
      </c>
      <c r="D431" s="63" t="s">
        <v>1036</v>
      </c>
      <c r="E431" s="63" t="s">
        <v>1032</v>
      </c>
      <c r="F431" s="66" t="s">
        <v>857</v>
      </c>
      <c r="G431" s="66" t="s">
        <v>429</v>
      </c>
      <c r="H431" s="66">
        <v>1650600</v>
      </c>
      <c r="I431" s="66">
        <f t="shared" si="16"/>
        <v>0</v>
      </c>
      <c r="J431" s="66">
        <v>1650600</v>
      </c>
    </row>
    <row r="432" spans="2:10" hidden="1" x14ac:dyDescent="0.2">
      <c r="B432" s="74" t="s">
        <v>332</v>
      </c>
      <c r="C432" s="66" t="s">
        <v>588</v>
      </c>
      <c r="D432" s="63" t="s">
        <v>1036</v>
      </c>
      <c r="E432" s="63" t="s">
        <v>1032</v>
      </c>
      <c r="F432" s="66" t="s">
        <v>857</v>
      </c>
      <c r="G432" s="66" t="s">
        <v>331</v>
      </c>
      <c r="H432" s="66">
        <v>0</v>
      </c>
      <c r="I432" s="66">
        <f t="shared" si="16"/>
        <v>0</v>
      </c>
      <c r="J432" s="66">
        <v>0</v>
      </c>
    </row>
    <row r="433" spans="2:10" ht="27" customHeight="1" x14ac:dyDescent="0.2">
      <c r="B433" s="74" t="s">
        <v>1209</v>
      </c>
      <c r="C433" s="66" t="s">
        <v>588</v>
      </c>
      <c r="D433" s="63" t="s">
        <v>1036</v>
      </c>
      <c r="E433" s="63" t="s">
        <v>1032</v>
      </c>
      <c r="F433" s="76" t="s">
        <v>1202</v>
      </c>
      <c r="G433" s="66"/>
      <c r="H433" s="66">
        <f>H434</f>
        <v>1404000</v>
      </c>
      <c r="I433" s="66">
        <f t="shared" si="16"/>
        <v>0</v>
      </c>
      <c r="J433" s="66">
        <f>J434</f>
        <v>1404000</v>
      </c>
    </row>
    <row r="434" spans="2:10" x14ac:dyDescent="0.2">
      <c r="B434" s="74" t="s">
        <v>332</v>
      </c>
      <c r="C434" s="66" t="s">
        <v>588</v>
      </c>
      <c r="D434" s="63" t="s">
        <v>1036</v>
      </c>
      <c r="E434" s="63" t="s">
        <v>1032</v>
      </c>
      <c r="F434" s="76" t="s">
        <v>1202</v>
      </c>
      <c r="G434" s="112">
        <v>612</v>
      </c>
      <c r="H434" s="66">
        <v>1404000</v>
      </c>
      <c r="I434" s="66">
        <f t="shared" si="16"/>
        <v>0</v>
      </c>
      <c r="J434" s="66">
        <v>1404000</v>
      </c>
    </row>
    <row r="435" spans="2:10" ht="52.5" x14ac:dyDescent="0.2">
      <c r="B435" s="74" t="s">
        <v>1226</v>
      </c>
      <c r="C435" s="66" t="s">
        <v>588</v>
      </c>
      <c r="D435" s="63" t="s">
        <v>1036</v>
      </c>
      <c r="E435" s="63" t="s">
        <v>1032</v>
      </c>
      <c r="F435" s="76" t="s">
        <v>1225</v>
      </c>
      <c r="G435" s="112"/>
      <c r="H435" s="66">
        <f>H436</f>
        <v>0</v>
      </c>
      <c r="I435" s="66">
        <f t="shared" si="16"/>
        <v>381093</v>
      </c>
      <c r="J435" s="66">
        <f>J436</f>
        <v>381093</v>
      </c>
    </row>
    <row r="436" spans="2:10" ht="31.5" x14ac:dyDescent="0.2">
      <c r="B436" s="74" t="s">
        <v>437</v>
      </c>
      <c r="C436" s="66" t="s">
        <v>588</v>
      </c>
      <c r="D436" s="63" t="s">
        <v>1036</v>
      </c>
      <c r="E436" s="63" t="s">
        <v>1032</v>
      </c>
      <c r="F436" s="76" t="s">
        <v>1225</v>
      </c>
      <c r="G436" s="112">
        <v>611</v>
      </c>
      <c r="H436" s="66">
        <v>0</v>
      </c>
      <c r="I436" s="66">
        <f t="shared" si="16"/>
        <v>381093</v>
      </c>
      <c r="J436" s="66">
        <v>381093</v>
      </c>
    </row>
    <row r="437" spans="2:10" ht="52.5" x14ac:dyDescent="0.2">
      <c r="B437" s="74" t="s">
        <v>1008</v>
      </c>
      <c r="C437" s="63" t="s">
        <v>588</v>
      </c>
      <c r="D437" s="63" t="s">
        <v>1036</v>
      </c>
      <c r="E437" s="63" t="s">
        <v>1032</v>
      </c>
      <c r="F437" s="76" t="s">
        <v>862</v>
      </c>
      <c r="G437" s="66"/>
      <c r="H437" s="66">
        <f>H438+H441</f>
        <v>65476020.759999998</v>
      </c>
      <c r="I437" s="66">
        <f t="shared" si="16"/>
        <v>4285900.0000000075</v>
      </c>
      <c r="J437" s="66">
        <f>J438+J441</f>
        <v>69761920.760000005</v>
      </c>
    </row>
    <row r="438" spans="2:10" ht="45" customHeight="1" x14ac:dyDescent="0.2">
      <c r="B438" s="74" t="s">
        <v>1108</v>
      </c>
      <c r="C438" s="63" t="s">
        <v>588</v>
      </c>
      <c r="D438" s="63" t="s">
        <v>1036</v>
      </c>
      <c r="E438" s="63" t="s">
        <v>1032</v>
      </c>
      <c r="F438" s="63" t="s">
        <v>750</v>
      </c>
      <c r="G438" s="63"/>
      <c r="H438" s="66">
        <f>H440+H439</f>
        <v>65476020.759999998</v>
      </c>
      <c r="I438" s="66">
        <f t="shared" si="16"/>
        <v>4285900.0000000075</v>
      </c>
      <c r="J438" s="66">
        <f>J440+J439</f>
        <v>69761920.760000005</v>
      </c>
    </row>
    <row r="439" spans="2:10" ht="31.5" x14ac:dyDescent="0.2">
      <c r="B439" s="74" t="s">
        <v>437</v>
      </c>
      <c r="C439" s="63" t="s">
        <v>588</v>
      </c>
      <c r="D439" s="63" t="s">
        <v>1036</v>
      </c>
      <c r="E439" s="63" t="s">
        <v>1032</v>
      </c>
      <c r="F439" s="63" t="s">
        <v>750</v>
      </c>
      <c r="G439" s="66" t="s">
        <v>429</v>
      </c>
      <c r="H439" s="66">
        <v>65226020.759999998</v>
      </c>
      <c r="I439" s="66">
        <f t="shared" si="16"/>
        <v>4188100.0000000075</v>
      </c>
      <c r="J439" s="66">
        <v>69414120.760000005</v>
      </c>
    </row>
    <row r="440" spans="2:10" x14ac:dyDescent="0.2">
      <c r="B440" s="74" t="s">
        <v>332</v>
      </c>
      <c r="C440" s="63" t="s">
        <v>588</v>
      </c>
      <c r="D440" s="63" t="s">
        <v>1036</v>
      </c>
      <c r="E440" s="63" t="s">
        <v>1032</v>
      </c>
      <c r="F440" s="63" t="s">
        <v>750</v>
      </c>
      <c r="G440" s="63" t="s">
        <v>331</v>
      </c>
      <c r="H440" s="66">
        <v>250000</v>
      </c>
      <c r="I440" s="66">
        <f t="shared" si="16"/>
        <v>97800</v>
      </c>
      <c r="J440" s="66">
        <v>347800</v>
      </c>
    </row>
    <row r="441" spans="2:10" ht="31.5" hidden="1" x14ac:dyDescent="0.2">
      <c r="B441" s="74" t="s">
        <v>437</v>
      </c>
      <c r="C441" s="63" t="s">
        <v>588</v>
      </c>
      <c r="D441" s="63" t="s">
        <v>1036</v>
      </c>
      <c r="E441" s="63" t="s">
        <v>1032</v>
      </c>
      <c r="F441" s="63" t="s">
        <v>864</v>
      </c>
      <c r="G441" s="63"/>
      <c r="H441" s="66">
        <f>H442+H443+H444</f>
        <v>0</v>
      </c>
      <c r="I441" s="66">
        <f t="shared" si="16"/>
        <v>0</v>
      </c>
      <c r="J441" s="66">
        <f>J442+J443+J444</f>
        <v>0</v>
      </c>
    </row>
    <row r="442" spans="2:10" ht="21" hidden="1" x14ac:dyDescent="0.2">
      <c r="B442" s="74" t="s">
        <v>434</v>
      </c>
      <c r="C442" s="63" t="s">
        <v>588</v>
      </c>
      <c r="D442" s="63" t="s">
        <v>1036</v>
      </c>
      <c r="E442" s="63" t="s">
        <v>1032</v>
      </c>
      <c r="F442" s="63" t="s">
        <v>864</v>
      </c>
      <c r="G442" s="63" t="s">
        <v>423</v>
      </c>
      <c r="H442" s="66">
        <v>0</v>
      </c>
      <c r="I442" s="66">
        <f t="shared" si="16"/>
        <v>0</v>
      </c>
      <c r="J442" s="66">
        <v>0</v>
      </c>
    </row>
    <row r="443" spans="2:10" ht="31.5" hidden="1" x14ac:dyDescent="0.2">
      <c r="B443" s="74" t="s">
        <v>437</v>
      </c>
      <c r="C443" s="63" t="s">
        <v>588</v>
      </c>
      <c r="D443" s="63" t="s">
        <v>1036</v>
      </c>
      <c r="E443" s="63" t="s">
        <v>1032</v>
      </c>
      <c r="F443" s="63" t="s">
        <v>864</v>
      </c>
      <c r="G443" s="63" t="s">
        <v>429</v>
      </c>
      <c r="H443" s="66">
        <v>0</v>
      </c>
      <c r="I443" s="66">
        <f t="shared" si="16"/>
        <v>0</v>
      </c>
      <c r="J443" s="66">
        <v>0</v>
      </c>
    </row>
    <row r="444" spans="2:10" hidden="1" x14ac:dyDescent="0.2">
      <c r="B444" s="74" t="s">
        <v>332</v>
      </c>
      <c r="C444" s="63" t="s">
        <v>588</v>
      </c>
      <c r="D444" s="63" t="s">
        <v>1036</v>
      </c>
      <c r="E444" s="63" t="s">
        <v>1032</v>
      </c>
      <c r="F444" s="63" t="s">
        <v>864</v>
      </c>
      <c r="G444" s="63" t="s">
        <v>331</v>
      </c>
      <c r="H444" s="66">
        <v>0</v>
      </c>
      <c r="I444" s="66">
        <f t="shared" si="16"/>
        <v>0</v>
      </c>
      <c r="J444" s="66">
        <v>0</v>
      </c>
    </row>
    <row r="445" spans="2:10" ht="63" hidden="1" x14ac:dyDescent="0.2">
      <c r="B445" s="74" t="s">
        <v>1052</v>
      </c>
      <c r="C445" s="66" t="s">
        <v>588</v>
      </c>
      <c r="D445" s="63" t="s">
        <v>1036</v>
      </c>
      <c r="E445" s="63" t="s">
        <v>1032</v>
      </c>
      <c r="F445" s="76" t="s">
        <v>1053</v>
      </c>
      <c r="G445" s="66"/>
      <c r="H445" s="66">
        <f>H446</f>
        <v>0</v>
      </c>
      <c r="I445" s="66">
        <f t="shared" si="16"/>
        <v>0</v>
      </c>
      <c r="J445" s="66">
        <f>J446</f>
        <v>0</v>
      </c>
    </row>
    <row r="446" spans="2:10" ht="31.5" hidden="1" x14ac:dyDescent="0.2">
      <c r="B446" s="74" t="s">
        <v>437</v>
      </c>
      <c r="C446" s="66" t="s">
        <v>588</v>
      </c>
      <c r="D446" s="63" t="s">
        <v>1036</v>
      </c>
      <c r="E446" s="63" t="s">
        <v>1032</v>
      </c>
      <c r="F446" s="76" t="s">
        <v>1053</v>
      </c>
      <c r="G446" s="66" t="s">
        <v>429</v>
      </c>
      <c r="H446" s="66">
        <v>0</v>
      </c>
      <c r="I446" s="66">
        <f t="shared" si="16"/>
        <v>0</v>
      </c>
      <c r="J446" s="66">
        <v>0</v>
      </c>
    </row>
    <row r="447" spans="2:10" ht="52.5" hidden="1" x14ac:dyDescent="0.2">
      <c r="B447" s="74" t="s">
        <v>1159</v>
      </c>
      <c r="C447" s="63" t="s">
        <v>588</v>
      </c>
      <c r="D447" s="63" t="s">
        <v>1036</v>
      </c>
      <c r="E447" s="63" t="s">
        <v>1032</v>
      </c>
      <c r="F447" s="76" t="s">
        <v>865</v>
      </c>
      <c r="G447" s="66"/>
      <c r="H447" s="66">
        <f>H448+H450</f>
        <v>0</v>
      </c>
      <c r="I447" s="66">
        <f t="shared" si="16"/>
        <v>0</v>
      </c>
      <c r="J447" s="66">
        <f>J448+J450</f>
        <v>0</v>
      </c>
    </row>
    <row r="448" spans="2:10" ht="55.5" hidden="1" customHeight="1" x14ac:dyDescent="0.2">
      <c r="B448" s="74" t="s">
        <v>1109</v>
      </c>
      <c r="C448" s="63" t="s">
        <v>588</v>
      </c>
      <c r="D448" s="63" t="s">
        <v>1036</v>
      </c>
      <c r="E448" s="63" t="s">
        <v>1032</v>
      </c>
      <c r="F448" s="63" t="s">
        <v>739</v>
      </c>
      <c r="G448" s="63"/>
      <c r="H448" s="66">
        <f>H449</f>
        <v>0</v>
      </c>
      <c r="I448" s="66">
        <f t="shared" si="16"/>
        <v>0</v>
      </c>
      <c r="J448" s="66">
        <f>J449</f>
        <v>0</v>
      </c>
    </row>
    <row r="449" spans="2:10" ht="31.5" hidden="1" x14ac:dyDescent="0.2">
      <c r="B449" s="74" t="s">
        <v>437</v>
      </c>
      <c r="C449" s="63" t="s">
        <v>588</v>
      </c>
      <c r="D449" s="63" t="s">
        <v>1036</v>
      </c>
      <c r="E449" s="63" t="s">
        <v>1032</v>
      </c>
      <c r="F449" s="63" t="s">
        <v>739</v>
      </c>
      <c r="G449" s="63" t="s">
        <v>429</v>
      </c>
      <c r="H449" s="66">
        <v>0</v>
      </c>
      <c r="I449" s="66">
        <f t="shared" si="16"/>
        <v>0</v>
      </c>
      <c r="J449" s="66">
        <v>0</v>
      </c>
    </row>
    <row r="450" spans="2:10" ht="63" hidden="1" x14ac:dyDescent="0.2">
      <c r="B450" s="74" t="s">
        <v>1009</v>
      </c>
      <c r="C450" s="63" t="s">
        <v>588</v>
      </c>
      <c r="D450" s="63" t="s">
        <v>1036</v>
      </c>
      <c r="E450" s="63" t="s">
        <v>1032</v>
      </c>
      <c r="F450" s="63" t="s">
        <v>741</v>
      </c>
      <c r="G450" s="63"/>
      <c r="H450" s="66">
        <f>H451</f>
        <v>0</v>
      </c>
      <c r="I450" s="66">
        <f t="shared" si="16"/>
        <v>0</v>
      </c>
      <c r="J450" s="66">
        <f>J451</f>
        <v>0</v>
      </c>
    </row>
    <row r="451" spans="2:10" ht="31.5" hidden="1" x14ac:dyDescent="0.2">
      <c r="B451" s="74" t="s">
        <v>437</v>
      </c>
      <c r="C451" s="63" t="s">
        <v>588</v>
      </c>
      <c r="D451" s="63" t="s">
        <v>1036</v>
      </c>
      <c r="E451" s="63" t="s">
        <v>1032</v>
      </c>
      <c r="F451" s="63" t="s">
        <v>741</v>
      </c>
      <c r="G451" s="63" t="s">
        <v>429</v>
      </c>
      <c r="H451" s="66">
        <v>0</v>
      </c>
      <c r="I451" s="66">
        <f t="shared" si="16"/>
        <v>0</v>
      </c>
      <c r="J451" s="66">
        <v>0</v>
      </c>
    </row>
    <row r="452" spans="2:10" ht="52.5" hidden="1" x14ac:dyDescent="0.2">
      <c r="B452" s="74" t="s">
        <v>1127</v>
      </c>
      <c r="C452" s="66" t="s">
        <v>588</v>
      </c>
      <c r="D452" s="63" t="s">
        <v>1036</v>
      </c>
      <c r="E452" s="63" t="s">
        <v>1032</v>
      </c>
      <c r="F452" s="66" t="s">
        <v>861</v>
      </c>
      <c r="G452" s="66"/>
      <c r="H452" s="66">
        <f>H453</f>
        <v>0</v>
      </c>
      <c r="I452" s="66">
        <f t="shared" si="16"/>
        <v>0</v>
      </c>
      <c r="J452" s="66">
        <f>J453</f>
        <v>0</v>
      </c>
    </row>
    <row r="453" spans="2:10" ht="31.5" hidden="1" x14ac:dyDescent="0.2">
      <c r="B453" s="74" t="s">
        <v>437</v>
      </c>
      <c r="C453" s="66" t="s">
        <v>588</v>
      </c>
      <c r="D453" s="63" t="s">
        <v>1036</v>
      </c>
      <c r="E453" s="63" t="s">
        <v>1032</v>
      </c>
      <c r="F453" s="66" t="s">
        <v>861</v>
      </c>
      <c r="G453" s="66" t="s">
        <v>429</v>
      </c>
      <c r="H453" s="66">
        <v>0</v>
      </c>
      <c r="I453" s="66">
        <f t="shared" si="16"/>
        <v>0</v>
      </c>
      <c r="J453" s="66">
        <v>0</v>
      </c>
    </row>
    <row r="454" spans="2:10" ht="52.5" x14ac:dyDescent="0.2">
      <c r="B454" s="74" t="s">
        <v>1148</v>
      </c>
      <c r="C454" s="63" t="s">
        <v>588</v>
      </c>
      <c r="D454" s="63" t="s">
        <v>1036</v>
      </c>
      <c r="E454" s="63" t="s">
        <v>1032</v>
      </c>
      <c r="F454" s="76" t="s">
        <v>848</v>
      </c>
      <c r="G454" s="66"/>
      <c r="H454" s="66">
        <f t="shared" ref="H454:J455" si="17">H455</f>
        <v>90000</v>
      </c>
      <c r="I454" s="66">
        <f t="shared" si="16"/>
        <v>0</v>
      </c>
      <c r="J454" s="66">
        <f t="shared" si="17"/>
        <v>90000</v>
      </c>
    </row>
    <row r="455" spans="2:10" ht="52.5" x14ac:dyDescent="0.2">
      <c r="B455" s="74" t="s">
        <v>1102</v>
      </c>
      <c r="C455" s="63" t="s">
        <v>588</v>
      </c>
      <c r="D455" s="63" t="s">
        <v>1036</v>
      </c>
      <c r="E455" s="63" t="s">
        <v>1032</v>
      </c>
      <c r="F455" s="63" t="s">
        <v>875</v>
      </c>
      <c r="G455" s="63"/>
      <c r="H455" s="66">
        <f t="shared" si="17"/>
        <v>90000</v>
      </c>
      <c r="I455" s="66">
        <f t="shared" si="16"/>
        <v>0</v>
      </c>
      <c r="J455" s="66">
        <f t="shared" si="17"/>
        <v>90000</v>
      </c>
    </row>
    <row r="456" spans="2:10" ht="31.5" x14ac:dyDescent="0.2">
      <c r="B456" s="74" t="s">
        <v>437</v>
      </c>
      <c r="C456" s="63" t="s">
        <v>588</v>
      </c>
      <c r="D456" s="63" t="s">
        <v>1036</v>
      </c>
      <c r="E456" s="63" t="s">
        <v>1032</v>
      </c>
      <c r="F456" s="63" t="s">
        <v>875</v>
      </c>
      <c r="G456" s="63" t="s">
        <v>429</v>
      </c>
      <c r="H456" s="66">
        <v>90000</v>
      </c>
      <c r="I456" s="66">
        <f t="shared" si="16"/>
        <v>0</v>
      </c>
      <c r="J456" s="66">
        <v>90000</v>
      </c>
    </row>
    <row r="457" spans="2:10" ht="63" x14ac:dyDescent="0.2">
      <c r="B457" s="74" t="s">
        <v>1246</v>
      </c>
      <c r="C457" s="63" t="s">
        <v>588</v>
      </c>
      <c r="D457" s="63" t="s">
        <v>1036</v>
      </c>
      <c r="E457" s="63" t="s">
        <v>1032</v>
      </c>
      <c r="F457" s="63" t="s">
        <v>782</v>
      </c>
      <c r="G457" s="63"/>
      <c r="H457" s="66">
        <f>H458</f>
        <v>0</v>
      </c>
      <c r="I457" s="66">
        <f t="shared" si="16"/>
        <v>320972</v>
      </c>
      <c r="J457" s="66">
        <f>J458</f>
        <v>320972</v>
      </c>
    </row>
    <row r="458" spans="2:10" ht="52.5" x14ac:dyDescent="0.2">
      <c r="B458" s="74" t="s">
        <v>1228</v>
      </c>
      <c r="C458" s="63" t="s">
        <v>588</v>
      </c>
      <c r="D458" s="63" t="s">
        <v>1036</v>
      </c>
      <c r="E458" s="63" t="s">
        <v>1032</v>
      </c>
      <c r="F458" s="63" t="s">
        <v>971</v>
      </c>
      <c r="G458" s="63"/>
      <c r="H458" s="66">
        <f>H459</f>
        <v>0</v>
      </c>
      <c r="I458" s="66">
        <f t="shared" si="16"/>
        <v>320972</v>
      </c>
      <c r="J458" s="66">
        <f>J459</f>
        <v>320972</v>
      </c>
    </row>
    <row r="459" spans="2:10" x14ac:dyDescent="0.2">
      <c r="B459" s="74" t="s">
        <v>332</v>
      </c>
      <c r="C459" s="63" t="s">
        <v>588</v>
      </c>
      <c r="D459" s="63" t="s">
        <v>1036</v>
      </c>
      <c r="E459" s="63" t="s">
        <v>1032</v>
      </c>
      <c r="F459" s="63" t="s">
        <v>971</v>
      </c>
      <c r="G459" s="63" t="s">
        <v>331</v>
      </c>
      <c r="H459" s="66">
        <v>0</v>
      </c>
      <c r="I459" s="66">
        <f t="shared" si="16"/>
        <v>320972</v>
      </c>
      <c r="J459" s="66">
        <f>403392-82420</f>
        <v>320972</v>
      </c>
    </row>
    <row r="460" spans="2:10" ht="24" customHeight="1" x14ac:dyDescent="0.2">
      <c r="B460" s="74" t="s">
        <v>1176</v>
      </c>
      <c r="C460" s="63" t="s">
        <v>588</v>
      </c>
      <c r="D460" s="63" t="s">
        <v>1036</v>
      </c>
      <c r="E460" s="63" t="s">
        <v>1032</v>
      </c>
      <c r="F460" s="63" t="s">
        <v>899</v>
      </c>
      <c r="G460" s="63"/>
      <c r="H460" s="66">
        <f>H461</f>
        <v>3042080</v>
      </c>
      <c r="I460" s="66">
        <f t="shared" si="16"/>
        <v>78005</v>
      </c>
      <c r="J460" s="66">
        <f>J461</f>
        <v>3120085</v>
      </c>
    </row>
    <row r="461" spans="2:10" ht="35.25" customHeight="1" x14ac:dyDescent="0.2">
      <c r="B461" s="74" t="s">
        <v>1181</v>
      </c>
      <c r="C461" s="63" t="s">
        <v>588</v>
      </c>
      <c r="D461" s="63" t="s">
        <v>1036</v>
      </c>
      <c r="E461" s="63" t="s">
        <v>1032</v>
      </c>
      <c r="F461" s="63" t="s">
        <v>1180</v>
      </c>
      <c r="G461" s="63"/>
      <c r="H461" s="66">
        <f>H462+H463</f>
        <v>3042080</v>
      </c>
      <c r="I461" s="66">
        <f t="shared" si="16"/>
        <v>78005</v>
      </c>
      <c r="J461" s="66">
        <f>J462+J463</f>
        <v>3120085</v>
      </c>
    </row>
    <row r="462" spans="2:10" ht="31.5" x14ac:dyDescent="0.2">
      <c r="B462" s="74" t="s">
        <v>437</v>
      </c>
      <c r="C462" s="63" t="s">
        <v>588</v>
      </c>
      <c r="D462" s="63" t="s">
        <v>1036</v>
      </c>
      <c r="E462" s="63" t="s">
        <v>1032</v>
      </c>
      <c r="F462" s="63" t="s">
        <v>1180</v>
      </c>
      <c r="G462" s="63" t="s">
        <v>429</v>
      </c>
      <c r="H462" s="66">
        <v>3042080</v>
      </c>
      <c r="I462" s="66">
        <f t="shared" si="16"/>
        <v>0</v>
      </c>
      <c r="J462" s="66">
        <v>3042080</v>
      </c>
    </row>
    <row r="463" spans="2:10" x14ac:dyDescent="0.2">
      <c r="B463" s="74" t="s">
        <v>332</v>
      </c>
      <c r="C463" s="63" t="s">
        <v>588</v>
      </c>
      <c r="D463" s="63" t="s">
        <v>1036</v>
      </c>
      <c r="E463" s="63" t="s">
        <v>1032</v>
      </c>
      <c r="F463" s="63" t="s">
        <v>1180</v>
      </c>
      <c r="G463" s="63" t="s">
        <v>331</v>
      </c>
      <c r="H463" s="66">
        <v>0</v>
      </c>
      <c r="I463" s="66">
        <f t="shared" si="16"/>
        <v>78005</v>
      </c>
      <c r="J463" s="66">
        <v>78005</v>
      </c>
    </row>
    <row r="464" spans="2:10" ht="63" x14ac:dyDescent="0.2">
      <c r="B464" s="74" t="s">
        <v>1160</v>
      </c>
      <c r="C464" s="63" t="s">
        <v>588</v>
      </c>
      <c r="D464" s="63" t="s">
        <v>1036</v>
      </c>
      <c r="E464" s="63" t="s">
        <v>1032</v>
      </c>
      <c r="F464" s="63" t="s">
        <v>1054</v>
      </c>
      <c r="G464" s="63"/>
      <c r="H464" s="66">
        <f>H465</f>
        <v>250000</v>
      </c>
      <c r="I464" s="66">
        <f t="shared" si="16"/>
        <v>364757</v>
      </c>
      <c r="J464" s="66">
        <f>J465</f>
        <v>614757</v>
      </c>
    </row>
    <row r="465" spans="2:10" ht="52.5" x14ac:dyDescent="0.2">
      <c r="B465" s="74" t="s">
        <v>1161</v>
      </c>
      <c r="C465" s="63" t="s">
        <v>588</v>
      </c>
      <c r="D465" s="63" t="s">
        <v>1036</v>
      </c>
      <c r="E465" s="63" t="s">
        <v>1032</v>
      </c>
      <c r="F465" s="63" t="s">
        <v>1055</v>
      </c>
      <c r="G465" s="63"/>
      <c r="H465" s="66">
        <f>H466</f>
        <v>250000</v>
      </c>
      <c r="I465" s="66">
        <f t="shared" si="16"/>
        <v>364757</v>
      </c>
      <c r="J465" s="66">
        <f>J466</f>
        <v>614757</v>
      </c>
    </row>
    <row r="466" spans="2:10" ht="31.5" x14ac:dyDescent="0.2">
      <c r="B466" s="74" t="s">
        <v>437</v>
      </c>
      <c r="C466" s="63" t="s">
        <v>588</v>
      </c>
      <c r="D466" s="63" t="s">
        <v>1036</v>
      </c>
      <c r="E466" s="63" t="s">
        <v>1032</v>
      </c>
      <c r="F466" s="63" t="s">
        <v>1055</v>
      </c>
      <c r="G466" s="63" t="s">
        <v>429</v>
      </c>
      <c r="H466" s="66">
        <v>250000</v>
      </c>
      <c r="I466" s="66">
        <f t="shared" si="16"/>
        <v>364757</v>
      </c>
      <c r="J466" s="66">
        <v>614757</v>
      </c>
    </row>
    <row r="467" spans="2:10" ht="52.5" x14ac:dyDescent="0.2">
      <c r="B467" s="74" t="s">
        <v>1063</v>
      </c>
      <c r="C467" s="63" t="s">
        <v>588</v>
      </c>
      <c r="D467" s="63" t="s">
        <v>1036</v>
      </c>
      <c r="E467" s="63" t="s">
        <v>1032</v>
      </c>
      <c r="F467" s="63" t="s">
        <v>788</v>
      </c>
      <c r="G467" s="63"/>
      <c r="H467" s="66">
        <f>H468</f>
        <v>0</v>
      </c>
      <c r="I467" s="66">
        <f t="shared" si="16"/>
        <v>136622.03</v>
      </c>
      <c r="J467" s="66">
        <f>J468</f>
        <v>136622.03</v>
      </c>
    </row>
    <row r="468" spans="2:10" ht="52.5" x14ac:dyDescent="0.2">
      <c r="B468" s="74" t="s">
        <v>1069</v>
      </c>
      <c r="C468" s="63" t="s">
        <v>588</v>
      </c>
      <c r="D468" s="63" t="s">
        <v>1036</v>
      </c>
      <c r="E468" s="63" t="s">
        <v>1032</v>
      </c>
      <c r="F468" s="63" t="s">
        <v>1068</v>
      </c>
      <c r="G468" s="63"/>
      <c r="H468" s="66">
        <f>H469</f>
        <v>0</v>
      </c>
      <c r="I468" s="66">
        <f t="shared" si="16"/>
        <v>136622.03</v>
      </c>
      <c r="J468" s="66">
        <f>J469</f>
        <v>136622.03</v>
      </c>
    </row>
    <row r="469" spans="2:10" x14ac:dyDescent="0.2">
      <c r="B469" s="74" t="s">
        <v>332</v>
      </c>
      <c r="C469" s="63" t="s">
        <v>588</v>
      </c>
      <c r="D469" s="63" t="s">
        <v>1036</v>
      </c>
      <c r="E469" s="63" t="s">
        <v>1032</v>
      </c>
      <c r="F469" s="63" t="s">
        <v>1068</v>
      </c>
      <c r="G469" s="63" t="s">
        <v>331</v>
      </c>
      <c r="H469" s="66">
        <v>0</v>
      </c>
      <c r="I469" s="66">
        <f t="shared" si="16"/>
        <v>136622.03</v>
      </c>
      <c r="J469" s="66">
        <v>136622.03</v>
      </c>
    </row>
    <row r="470" spans="2:10" ht="63" x14ac:dyDescent="0.2">
      <c r="B470" s="74" t="s">
        <v>1104</v>
      </c>
      <c r="C470" s="63" t="s">
        <v>588</v>
      </c>
      <c r="D470" s="63" t="s">
        <v>1036</v>
      </c>
      <c r="E470" s="63" t="s">
        <v>1032</v>
      </c>
      <c r="F470" s="76" t="s">
        <v>843</v>
      </c>
      <c r="G470" s="66"/>
      <c r="H470" s="66">
        <f t="shared" ref="H470:J471" si="18">H471</f>
        <v>235780</v>
      </c>
      <c r="I470" s="66">
        <f t="shared" si="16"/>
        <v>-4145</v>
      </c>
      <c r="J470" s="66">
        <f t="shared" si="18"/>
        <v>231635</v>
      </c>
    </row>
    <row r="471" spans="2:10" ht="52.5" x14ac:dyDescent="0.2">
      <c r="B471" s="74" t="s">
        <v>1105</v>
      </c>
      <c r="C471" s="63" t="s">
        <v>588</v>
      </c>
      <c r="D471" s="63" t="s">
        <v>1036</v>
      </c>
      <c r="E471" s="63" t="s">
        <v>1032</v>
      </c>
      <c r="F471" s="63" t="s">
        <v>766</v>
      </c>
      <c r="G471" s="63"/>
      <c r="H471" s="66">
        <f t="shared" si="18"/>
        <v>235780</v>
      </c>
      <c r="I471" s="66">
        <f t="shared" ref="I471:I509" si="19">J471-H471</f>
        <v>-4145</v>
      </c>
      <c r="J471" s="66">
        <f t="shared" si="18"/>
        <v>231635</v>
      </c>
    </row>
    <row r="472" spans="2:10" ht="31.5" x14ac:dyDescent="0.2">
      <c r="B472" s="74" t="s">
        <v>437</v>
      </c>
      <c r="C472" s="63" t="s">
        <v>588</v>
      </c>
      <c r="D472" s="63" t="s">
        <v>1036</v>
      </c>
      <c r="E472" s="63" t="s">
        <v>1032</v>
      </c>
      <c r="F472" s="63" t="s">
        <v>766</v>
      </c>
      <c r="G472" s="63" t="s">
        <v>429</v>
      </c>
      <c r="H472" s="66">
        <v>235780</v>
      </c>
      <c r="I472" s="66">
        <f t="shared" si="19"/>
        <v>-4145</v>
      </c>
      <c r="J472" s="66">
        <v>231635</v>
      </c>
    </row>
    <row r="473" spans="2:10" ht="21" x14ac:dyDescent="0.2">
      <c r="B473" s="109" t="s">
        <v>94</v>
      </c>
      <c r="C473" s="63" t="s">
        <v>588</v>
      </c>
      <c r="D473" s="108" t="s">
        <v>1036</v>
      </c>
      <c r="E473" s="64" t="s">
        <v>1041</v>
      </c>
      <c r="F473" s="64"/>
      <c r="G473" s="63"/>
      <c r="H473" s="65">
        <f>H478+H475</f>
        <v>280000</v>
      </c>
      <c r="I473" s="66">
        <f t="shared" si="19"/>
        <v>396000</v>
      </c>
      <c r="J473" s="65">
        <f>J478+J475</f>
        <v>676000</v>
      </c>
    </row>
    <row r="474" spans="2:10" ht="52.5" x14ac:dyDescent="0.2">
      <c r="B474" s="109" t="s">
        <v>1156</v>
      </c>
      <c r="C474" s="63" t="s">
        <v>588</v>
      </c>
      <c r="D474" s="108" t="s">
        <v>1036</v>
      </c>
      <c r="E474" s="64" t="s">
        <v>1041</v>
      </c>
      <c r="F474" s="64" t="s">
        <v>852</v>
      </c>
      <c r="G474" s="63"/>
      <c r="H474" s="65">
        <f t="shared" ref="H474:J475" si="20">H475</f>
        <v>80000</v>
      </c>
      <c r="I474" s="66">
        <f t="shared" si="19"/>
        <v>0</v>
      </c>
      <c r="J474" s="65">
        <f t="shared" si="20"/>
        <v>80000</v>
      </c>
    </row>
    <row r="475" spans="2:10" ht="42" x14ac:dyDescent="0.2">
      <c r="B475" s="109" t="s">
        <v>1106</v>
      </c>
      <c r="C475" s="63" t="s">
        <v>588</v>
      </c>
      <c r="D475" s="108" t="s">
        <v>1036</v>
      </c>
      <c r="E475" s="64" t="s">
        <v>1041</v>
      </c>
      <c r="F475" s="64" t="s">
        <v>854</v>
      </c>
      <c r="G475" s="63"/>
      <c r="H475" s="65">
        <f t="shared" si="20"/>
        <v>80000</v>
      </c>
      <c r="I475" s="66">
        <f t="shared" si="19"/>
        <v>0</v>
      </c>
      <c r="J475" s="65">
        <f t="shared" si="20"/>
        <v>80000</v>
      </c>
    </row>
    <row r="476" spans="2:10" ht="31.5" x14ac:dyDescent="0.2">
      <c r="B476" s="109" t="s">
        <v>437</v>
      </c>
      <c r="C476" s="63" t="s">
        <v>588</v>
      </c>
      <c r="D476" s="108" t="s">
        <v>1036</v>
      </c>
      <c r="E476" s="64" t="s">
        <v>1041</v>
      </c>
      <c r="F476" s="64" t="s">
        <v>854</v>
      </c>
      <c r="G476" s="63" t="s">
        <v>429</v>
      </c>
      <c r="H476" s="65">
        <v>80000</v>
      </c>
      <c r="I476" s="66">
        <f t="shared" si="19"/>
        <v>0</v>
      </c>
      <c r="J476" s="65">
        <v>80000</v>
      </c>
    </row>
    <row r="477" spans="2:10" ht="52.5" x14ac:dyDescent="0.2">
      <c r="B477" s="109" t="s">
        <v>1162</v>
      </c>
      <c r="C477" s="63" t="s">
        <v>588</v>
      </c>
      <c r="D477" s="108" t="s">
        <v>1036</v>
      </c>
      <c r="E477" s="64" t="s">
        <v>1041</v>
      </c>
      <c r="F477" s="64" t="s">
        <v>862</v>
      </c>
      <c r="G477" s="63"/>
      <c r="H477" s="65">
        <f>H478</f>
        <v>200000</v>
      </c>
      <c r="I477" s="66">
        <f t="shared" si="19"/>
        <v>396000</v>
      </c>
      <c r="J477" s="65">
        <f>J478</f>
        <v>596000</v>
      </c>
    </row>
    <row r="478" spans="2:10" ht="45" customHeight="1" x14ac:dyDescent="0.2">
      <c r="B478" s="109" t="s">
        <v>1108</v>
      </c>
      <c r="C478" s="63" t="s">
        <v>588</v>
      </c>
      <c r="D478" s="108" t="s">
        <v>1036</v>
      </c>
      <c r="E478" s="64" t="s">
        <v>1041</v>
      </c>
      <c r="F478" s="64" t="s">
        <v>750</v>
      </c>
      <c r="G478" s="63"/>
      <c r="H478" s="65">
        <f>H479+H480</f>
        <v>200000</v>
      </c>
      <c r="I478" s="66">
        <f t="shared" si="19"/>
        <v>396000</v>
      </c>
      <c r="J478" s="65">
        <f>J479+J480</f>
        <v>596000</v>
      </c>
    </row>
    <row r="479" spans="2:10" ht="31.5" x14ac:dyDescent="0.2">
      <c r="B479" s="109" t="s">
        <v>437</v>
      </c>
      <c r="C479" s="63" t="s">
        <v>588</v>
      </c>
      <c r="D479" s="108" t="s">
        <v>1036</v>
      </c>
      <c r="E479" s="64" t="s">
        <v>1041</v>
      </c>
      <c r="F479" s="64" t="s">
        <v>750</v>
      </c>
      <c r="G479" s="63" t="s">
        <v>429</v>
      </c>
      <c r="H479" s="65">
        <v>200000</v>
      </c>
      <c r="I479" s="66">
        <f t="shared" si="19"/>
        <v>0</v>
      </c>
      <c r="J479" s="65">
        <v>200000</v>
      </c>
    </row>
    <row r="480" spans="2:10" x14ac:dyDescent="0.2">
      <c r="B480" s="74" t="s">
        <v>332</v>
      </c>
      <c r="C480" s="63" t="s">
        <v>588</v>
      </c>
      <c r="D480" s="108" t="s">
        <v>1036</v>
      </c>
      <c r="E480" s="64" t="s">
        <v>1041</v>
      </c>
      <c r="F480" s="64" t="s">
        <v>750</v>
      </c>
      <c r="G480" s="63" t="s">
        <v>331</v>
      </c>
      <c r="H480" s="65">
        <v>0</v>
      </c>
      <c r="I480" s="66">
        <f t="shared" si="19"/>
        <v>396000</v>
      </c>
      <c r="J480" s="65">
        <f>150000+214000+32000</f>
        <v>396000</v>
      </c>
    </row>
    <row r="481" spans="2:10" x14ac:dyDescent="0.2">
      <c r="B481" s="109" t="s">
        <v>602</v>
      </c>
      <c r="C481" s="63" t="s">
        <v>588</v>
      </c>
      <c r="D481" s="108" t="s">
        <v>1036</v>
      </c>
      <c r="E481" s="64" t="s">
        <v>1036</v>
      </c>
      <c r="F481" s="64"/>
      <c r="G481" s="63"/>
      <c r="H481" s="65">
        <f>H488+H483+H486</f>
        <v>2760700</v>
      </c>
      <c r="I481" s="66">
        <f t="shared" si="19"/>
        <v>68200</v>
      </c>
      <c r="J481" s="65">
        <f>J488+J483+J486</f>
        <v>2828900</v>
      </c>
    </row>
    <row r="482" spans="2:10" ht="52.5" x14ac:dyDescent="0.2">
      <c r="B482" s="109" t="s">
        <v>1148</v>
      </c>
      <c r="C482" s="63" t="s">
        <v>588</v>
      </c>
      <c r="D482" s="108" t="s">
        <v>1036</v>
      </c>
      <c r="E482" s="64" t="s">
        <v>1036</v>
      </c>
      <c r="F482" s="64" t="s">
        <v>848</v>
      </c>
      <c r="G482" s="63"/>
      <c r="H482" s="65">
        <f>H483+H486</f>
        <v>996700</v>
      </c>
      <c r="I482" s="66">
        <f t="shared" si="19"/>
        <v>68200</v>
      </c>
      <c r="J482" s="65">
        <f>J483+J486</f>
        <v>1064900</v>
      </c>
    </row>
    <row r="483" spans="2:10" ht="52.5" x14ac:dyDescent="0.2">
      <c r="B483" s="109" t="s">
        <v>1110</v>
      </c>
      <c r="C483" s="63" t="s">
        <v>588</v>
      </c>
      <c r="D483" s="108" t="s">
        <v>1036</v>
      </c>
      <c r="E483" s="64" t="s">
        <v>1036</v>
      </c>
      <c r="F483" s="64" t="s">
        <v>873</v>
      </c>
      <c r="G483" s="63"/>
      <c r="H483" s="65">
        <f>H485+H484</f>
        <v>996700</v>
      </c>
      <c r="I483" s="66">
        <f t="shared" si="19"/>
        <v>0</v>
      </c>
      <c r="J483" s="65">
        <f>J485+J484</f>
        <v>996700</v>
      </c>
    </row>
    <row r="484" spans="2:10" x14ac:dyDescent="0.2">
      <c r="B484" s="109" t="s">
        <v>431</v>
      </c>
      <c r="C484" s="63" t="s">
        <v>588</v>
      </c>
      <c r="D484" s="108" t="s">
        <v>1036</v>
      </c>
      <c r="E484" s="64" t="s">
        <v>1036</v>
      </c>
      <c r="F484" s="64" t="s">
        <v>873</v>
      </c>
      <c r="G484" s="63" t="s">
        <v>424</v>
      </c>
      <c r="H484" s="65">
        <f>727100+219600</f>
        <v>946700</v>
      </c>
      <c r="I484" s="66">
        <f t="shared" si="19"/>
        <v>0</v>
      </c>
      <c r="J484" s="65">
        <f>727100+219600</f>
        <v>946700</v>
      </c>
    </row>
    <row r="485" spans="2:10" ht="21" x14ac:dyDescent="0.2">
      <c r="B485" s="109" t="s">
        <v>434</v>
      </c>
      <c r="C485" s="63" t="s">
        <v>588</v>
      </c>
      <c r="D485" s="108" t="s">
        <v>1036</v>
      </c>
      <c r="E485" s="64" t="s">
        <v>1036</v>
      </c>
      <c r="F485" s="64" t="s">
        <v>873</v>
      </c>
      <c r="G485" s="63" t="s">
        <v>423</v>
      </c>
      <c r="H485" s="65">
        <v>50000</v>
      </c>
      <c r="I485" s="66">
        <f t="shared" si="19"/>
        <v>0</v>
      </c>
      <c r="J485" s="65">
        <v>50000</v>
      </c>
    </row>
    <row r="486" spans="2:10" ht="42" x14ac:dyDescent="0.2">
      <c r="B486" s="109" t="s">
        <v>1010</v>
      </c>
      <c r="C486" s="63" t="s">
        <v>588</v>
      </c>
      <c r="D486" s="108" t="s">
        <v>1036</v>
      </c>
      <c r="E486" s="64" t="s">
        <v>1036</v>
      </c>
      <c r="F486" s="64" t="s">
        <v>875</v>
      </c>
      <c r="G486" s="63"/>
      <c r="H486" s="65">
        <f>H487</f>
        <v>0</v>
      </c>
      <c r="I486" s="66">
        <f t="shared" si="19"/>
        <v>68200</v>
      </c>
      <c r="J486" s="65">
        <f>J487</f>
        <v>68200</v>
      </c>
    </row>
    <row r="487" spans="2:10" ht="21" x14ac:dyDescent="0.2">
      <c r="B487" s="109" t="s">
        <v>434</v>
      </c>
      <c r="C487" s="63" t="s">
        <v>588</v>
      </c>
      <c r="D487" s="108" t="s">
        <v>1036</v>
      </c>
      <c r="E487" s="64" t="s">
        <v>1036</v>
      </c>
      <c r="F487" s="64" t="s">
        <v>875</v>
      </c>
      <c r="G487" s="63" t="s">
        <v>423</v>
      </c>
      <c r="H487" s="65">
        <v>0</v>
      </c>
      <c r="I487" s="66">
        <f t="shared" si="19"/>
        <v>68200</v>
      </c>
      <c r="J487" s="65">
        <v>68200</v>
      </c>
    </row>
    <row r="488" spans="2:10" ht="42" x14ac:dyDescent="0.2">
      <c r="B488" s="107" t="s">
        <v>1111</v>
      </c>
      <c r="C488" s="63" t="s">
        <v>588</v>
      </c>
      <c r="D488" s="108" t="s">
        <v>1036</v>
      </c>
      <c r="E488" s="64" t="s">
        <v>1036</v>
      </c>
      <c r="F488" s="64" t="s">
        <v>757</v>
      </c>
      <c r="G488" s="63"/>
      <c r="H488" s="65">
        <f>H490+H489</f>
        <v>1764000</v>
      </c>
      <c r="I488" s="66">
        <f t="shared" si="19"/>
        <v>0</v>
      </c>
      <c r="J488" s="65">
        <f>J490+J489</f>
        <v>1764000</v>
      </c>
    </row>
    <row r="489" spans="2:10" ht="21" x14ac:dyDescent="0.2">
      <c r="B489" s="109" t="s">
        <v>997</v>
      </c>
      <c r="C489" s="63" t="s">
        <v>588</v>
      </c>
      <c r="D489" s="108" t="s">
        <v>1036</v>
      </c>
      <c r="E489" s="64" t="s">
        <v>1036</v>
      </c>
      <c r="F489" s="64" t="s">
        <v>757</v>
      </c>
      <c r="G489" s="63" t="s">
        <v>996</v>
      </c>
      <c r="H489" s="65">
        <v>648000</v>
      </c>
      <c r="I489" s="66">
        <f t="shared" si="19"/>
        <v>0</v>
      </c>
      <c r="J489" s="65">
        <v>648000</v>
      </c>
    </row>
    <row r="490" spans="2:10" ht="21" x14ac:dyDescent="0.2">
      <c r="B490" s="109" t="s">
        <v>434</v>
      </c>
      <c r="C490" s="63" t="s">
        <v>588</v>
      </c>
      <c r="D490" s="108" t="s">
        <v>1036</v>
      </c>
      <c r="E490" s="64" t="s">
        <v>1036</v>
      </c>
      <c r="F490" s="64" t="s">
        <v>757</v>
      </c>
      <c r="G490" s="63" t="s">
        <v>331</v>
      </c>
      <c r="H490" s="65">
        <v>1116000</v>
      </c>
      <c r="I490" s="66">
        <f t="shared" si="19"/>
        <v>0</v>
      </c>
      <c r="J490" s="65">
        <v>1116000</v>
      </c>
    </row>
    <row r="491" spans="2:10" x14ac:dyDescent="0.2">
      <c r="B491" s="109" t="s">
        <v>604</v>
      </c>
      <c r="C491" s="63" t="s">
        <v>588</v>
      </c>
      <c r="D491" s="63" t="s">
        <v>1036</v>
      </c>
      <c r="E491" s="63" t="s">
        <v>1039</v>
      </c>
      <c r="F491" s="63"/>
      <c r="G491" s="63"/>
      <c r="H491" s="66">
        <f>H493+H495+H502+H505</f>
        <v>17327946</v>
      </c>
      <c r="I491" s="66">
        <f t="shared" si="19"/>
        <v>2818</v>
      </c>
      <c r="J491" s="66">
        <f>J493+J495+J502+J505</f>
        <v>17330764</v>
      </c>
    </row>
    <row r="492" spans="2:10" ht="42" x14ac:dyDescent="0.2">
      <c r="B492" s="109" t="s">
        <v>1172</v>
      </c>
      <c r="C492" s="63" t="s">
        <v>588</v>
      </c>
      <c r="D492" s="63" t="s">
        <v>1036</v>
      </c>
      <c r="E492" s="63" t="s">
        <v>1039</v>
      </c>
      <c r="F492" s="63" t="s">
        <v>877</v>
      </c>
      <c r="G492" s="63"/>
      <c r="H492" s="65">
        <f>H493+H495+H502</f>
        <v>17327946</v>
      </c>
      <c r="I492" s="66">
        <f t="shared" si="19"/>
        <v>-13800</v>
      </c>
      <c r="J492" s="65">
        <f>J493+J495+J502</f>
        <v>17314146</v>
      </c>
    </row>
    <row r="493" spans="2:10" ht="42" x14ac:dyDescent="0.2">
      <c r="B493" s="109" t="s">
        <v>1173</v>
      </c>
      <c r="C493" s="63" t="s">
        <v>588</v>
      </c>
      <c r="D493" s="63" t="s">
        <v>1036</v>
      </c>
      <c r="E493" s="63" t="s">
        <v>1039</v>
      </c>
      <c r="F493" s="63" t="s">
        <v>919</v>
      </c>
      <c r="G493" s="63"/>
      <c r="H493" s="65">
        <f>H494</f>
        <v>580030</v>
      </c>
      <c r="I493" s="66">
        <f t="shared" si="19"/>
        <v>0</v>
      </c>
      <c r="J493" s="65">
        <f>J494</f>
        <v>580030</v>
      </c>
    </row>
    <row r="494" spans="2:10" x14ac:dyDescent="0.2">
      <c r="B494" s="109" t="s">
        <v>431</v>
      </c>
      <c r="C494" s="63" t="s">
        <v>588</v>
      </c>
      <c r="D494" s="63" t="s">
        <v>1036</v>
      </c>
      <c r="E494" s="63" t="s">
        <v>1039</v>
      </c>
      <c r="F494" s="63" t="s">
        <v>919</v>
      </c>
      <c r="G494" s="63" t="s">
        <v>424</v>
      </c>
      <c r="H494" s="65">
        <f>445490+134540</f>
        <v>580030</v>
      </c>
      <c r="I494" s="66">
        <f t="shared" si="19"/>
        <v>0</v>
      </c>
      <c r="J494" s="65">
        <f>445490+134540</f>
        <v>580030</v>
      </c>
    </row>
    <row r="495" spans="2:10" ht="42" x14ac:dyDescent="0.2">
      <c r="B495" s="109" t="s">
        <v>1112</v>
      </c>
      <c r="C495" s="63" t="s">
        <v>588</v>
      </c>
      <c r="D495" s="63" t="s">
        <v>1036</v>
      </c>
      <c r="E495" s="63" t="s">
        <v>1039</v>
      </c>
      <c r="F495" s="63" t="s">
        <v>760</v>
      </c>
      <c r="G495" s="63"/>
      <c r="H495" s="65">
        <f>H496+H497+H498+H499+H500+H501</f>
        <v>15374316</v>
      </c>
      <c r="I495" s="66">
        <f t="shared" si="19"/>
        <v>-13800</v>
      </c>
      <c r="J495" s="65">
        <f>J496+J497+J498+J499+J500+J501</f>
        <v>15360516</v>
      </c>
    </row>
    <row r="496" spans="2:10" x14ac:dyDescent="0.2">
      <c r="B496" s="109" t="s">
        <v>431</v>
      </c>
      <c r="C496" s="63" t="s">
        <v>588</v>
      </c>
      <c r="D496" s="63" t="s">
        <v>1036</v>
      </c>
      <c r="E496" s="63" t="s">
        <v>1039</v>
      </c>
      <c r="F496" s="63" t="s">
        <v>760</v>
      </c>
      <c r="G496" s="63" t="s">
        <v>424</v>
      </c>
      <c r="H496" s="65">
        <f>8020960+2422330</f>
        <v>10443290</v>
      </c>
      <c r="I496" s="66">
        <f t="shared" si="19"/>
        <v>0</v>
      </c>
      <c r="J496" s="65">
        <f>8020960+2422330</f>
        <v>10443290</v>
      </c>
    </row>
    <row r="497" spans="2:10" ht="21" x14ac:dyDescent="0.2">
      <c r="B497" s="109" t="s">
        <v>432</v>
      </c>
      <c r="C497" s="63" t="s">
        <v>588</v>
      </c>
      <c r="D497" s="63" t="s">
        <v>1036</v>
      </c>
      <c r="E497" s="63" t="s">
        <v>1039</v>
      </c>
      <c r="F497" s="63" t="s">
        <v>760</v>
      </c>
      <c r="G497" s="63" t="s">
        <v>425</v>
      </c>
      <c r="H497" s="65">
        <f>95000+62000+243000</f>
        <v>400000</v>
      </c>
      <c r="I497" s="66">
        <f t="shared" si="19"/>
        <v>0</v>
      </c>
      <c r="J497" s="65">
        <f>95000+62000+243000</f>
        <v>400000</v>
      </c>
    </row>
    <row r="498" spans="2:10" ht="21" x14ac:dyDescent="0.2">
      <c r="B498" s="109" t="s">
        <v>433</v>
      </c>
      <c r="C498" s="63" t="s">
        <v>588</v>
      </c>
      <c r="D498" s="63" t="s">
        <v>1036</v>
      </c>
      <c r="E498" s="63" t="s">
        <v>1039</v>
      </c>
      <c r="F498" s="63" t="s">
        <v>760</v>
      </c>
      <c r="G498" s="63" t="s">
        <v>427</v>
      </c>
      <c r="H498" s="65">
        <f>240000+30000+76281</f>
        <v>346281</v>
      </c>
      <c r="I498" s="66">
        <f t="shared" si="19"/>
        <v>73772</v>
      </c>
      <c r="J498" s="65">
        <v>420053</v>
      </c>
    </row>
    <row r="499" spans="2:10" ht="21" x14ac:dyDescent="0.2">
      <c r="B499" s="74" t="s">
        <v>434</v>
      </c>
      <c r="C499" s="63" t="s">
        <v>588</v>
      </c>
      <c r="D499" s="63" t="s">
        <v>1036</v>
      </c>
      <c r="E499" s="63" t="s">
        <v>1039</v>
      </c>
      <c r="F499" s="63" t="s">
        <v>760</v>
      </c>
      <c r="G499" s="63" t="s">
        <v>423</v>
      </c>
      <c r="H499" s="65">
        <f>1684955+250000+164000+180000+1800000</f>
        <v>4078955</v>
      </c>
      <c r="I499" s="66">
        <f t="shared" si="19"/>
        <v>-87572</v>
      </c>
      <c r="J499" s="65">
        <v>3991383</v>
      </c>
    </row>
    <row r="500" spans="2:10" ht="16.5" customHeight="1" x14ac:dyDescent="0.2">
      <c r="B500" s="74" t="s">
        <v>393</v>
      </c>
      <c r="C500" s="63" t="s">
        <v>588</v>
      </c>
      <c r="D500" s="63" t="s">
        <v>1036</v>
      </c>
      <c r="E500" s="63" t="s">
        <v>1039</v>
      </c>
      <c r="F500" s="63" t="s">
        <v>760</v>
      </c>
      <c r="G500" s="63" t="s">
        <v>330</v>
      </c>
      <c r="H500" s="65">
        <v>62220</v>
      </c>
      <c r="I500" s="66">
        <f t="shared" si="19"/>
        <v>0</v>
      </c>
      <c r="J500" s="65">
        <v>62220</v>
      </c>
    </row>
    <row r="501" spans="2:10" x14ac:dyDescent="0.2">
      <c r="B501" s="74" t="s">
        <v>954</v>
      </c>
      <c r="C501" s="63" t="s">
        <v>588</v>
      </c>
      <c r="D501" s="63" t="s">
        <v>1036</v>
      </c>
      <c r="E501" s="63" t="s">
        <v>1039</v>
      </c>
      <c r="F501" s="63" t="s">
        <v>760</v>
      </c>
      <c r="G501" s="63" t="s">
        <v>249</v>
      </c>
      <c r="H501" s="65">
        <v>43570</v>
      </c>
      <c r="I501" s="66">
        <f t="shared" si="19"/>
        <v>0</v>
      </c>
      <c r="J501" s="65">
        <v>43570</v>
      </c>
    </row>
    <row r="502" spans="2:10" ht="42" x14ac:dyDescent="0.2">
      <c r="B502" s="74" t="s">
        <v>1174</v>
      </c>
      <c r="C502" s="63" t="s">
        <v>588</v>
      </c>
      <c r="D502" s="63" t="s">
        <v>1036</v>
      </c>
      <c r="E502" s="63" t="s">
        <v>1039</v>
      </c>
      <c r="F502" s="63" t="s">
        <v>918</v>
      </c>
      <c r="G502" s="63"/>
      <c r="H502" s="65">
        <f>H503</f>
        <v>1373600</v>
      </c>
      <c r="I502" s="66">
        <f t="shared" si="19"/>
        <v>0</v>
      </c>
      <c r="J502" s="65">
        <f>J503</f>
        <v>1373600</v>
      </c>
    </row>
    <row r="503" spans="2:10" x14ac:dyDescent="0.2">
      <c r="B503" s="74" t="s">
        <v>431</v>
      </c>
      <c r="C503" s="63" t="s">
        <v>588</v>
      </c>
      <c r="D503" s="63" t="s">
        <v>1036</v>
      </c>
      <c r="E503" s="63" t="s">
        <v>1039</v>
      </c>
      <c r="F503" s="63" t="s">
        <v>918</v>
      </c>
      <c r="G503" s="63" t="s">
        <v>424</v>
      </c>
      <c r="H503" s="65">
        <f>1055000+318600</f>
        <v>1373600</v>
      </c>
      <c r="I503" s="66">
        <f t="shared" si="19"/>
        <v>0</v>
      </c>
      <c r="J503" s="65">
        <f>1055000+318600</f>
        <v>1373600</v>
      </c>
    </row>
    <row r="504" spans="2:10" ht="63" x14ac:dyDescent="0.2">
      <c r="B504" s="74" t="s">
        <v>1247</v>
      </c>
      <c r="C504" s="63" t="s">
        <v>588</v>
      </c>
      <c r="D504" s="63" t="s">
        <v>1036</v>
      </c>
      <c r="E504" s="63" t="s">
        <v>1039</v>
      </c>
      <c r="F504" s="63" t="s">
        <v>1054</v>
      </c>
      <c r="G504" s="63"/>
      <c r="H504" s="65">
        <f>H505</f>
        <v>0</v>
      </c>
      <c r="I504" s="66">
        <f t="shared" si="19"/>
        <v>16618</v>
      </c>
      <c r="J504" s="65">
        <f>J505</f>
        <v>16618</v>
      </c>
    </row>
    <row r="505" spans="2:10" ht="52.5" x14ac:dyDescent="0.2">
      <c r="B505" s="74" t="s">
        <v>1248</v>
      </c>
      <c r="C505" s="63" t="s">
        <v>588</v>
      </c>
      <c r="D505" s="63" t="s">
        <v>1036</v>
      </c>
      <c r="E505" s="63" t="s">
        <v>1039</v>
      </c>
      <c r="F505" s="63" t="s">
        <v>1055</v>
      </c>
      <c r="G505" s="63"/>
      <c r="H505" s="65">
        <f>H506</f>
        <v>0</v>
      </c>
      <c r="I505" s="66">
        <f t="shared" si="19"/>
        <v>16618</v>
      </c>
      <c r="J505" s="65">
        <f>J506</f>
        <v>16618</v>
      </c>
    </row>
    <row r="506" spans="2:10" ht="21" x14ac:dyDescent="0.2">
      <c r="B506" s="74" t="s">
        <v>434</v>
      </c>
      <c r="C506" s="63" t="s">
        <v>588</v>
      </c>
      <c r="D506" s="63" t="s">
        <v>1036</v>
      </c>
      <c r="E506" s="63" t="s">
        <v>1039</v>
      </c>
      <c r="F506" s="63" t="s">
        <v>1055</v>
      </c>
      <c r="G506" s="63" t="s">
        <v>423</v>
      </c>
      <c r="H506" s="65">
        <v>0</v>
      </c>
      <c r="I506" s="66">
        <f t="shared" si="19"/>
        <v>16618</v>
      </c>
      <c r="J506" s="65">
        <v>16618</v>
      </c>
    </row>
    <row r="507" spans="2:10" x14ac:dyDescent="0.2">
      <c r="B507" s="74" t="s">
        <v>607</v>
      </c>
      <c r="C507" s="63" t="s">
        <v>588</v>
      </c>
      <c r="D507" s="63" t="s">
        <v>941</v>
      </c>
      <c r="E507" s="63" t="s">
        <v>1034</v>
      </c>
      <c r="F507" s="63"/>
      <c r="G507" s="63"/>
      <c r="H507" s="66">
        <f>H508</f>
        <v>2944200</v>
      </c>
      <c r="I507" s="66">
        <f t="shared" si="19"/>
        <v>0</v>
      </c>
      <c r="J507" s="66">
        <f>J508</f>
        <v>2944200</v>
      </c>
    </row>
    <row r="508" spans="2:10" ht="76.5" customHeight="1" x14ac:dyDescent="0.2">
      <c r="B508" s="107" t="s">
        <v>1168</v>
      </c>
      <c r="C508" s="63" t="s">
        <v>588</v>
      </c>
      <c r="D508" s="63" t="s">
        <v>941</v>
      </c>
      <c r="E508" s="63" t="s">
        <v>1034</v>
      </c>
      <c r="F508" s="63" t="s">
        <v>1167</v>
      </c>
      <c r="G508" s="63"/>
      <c r="H508" s="66">
        <f>H510+H509</f>
        <v>2944200</v>
      </c>
      <c r="I508" s="66">
        <f t="shared" si="19"/>
        <v>0</v>
      </c>
      <c r="J508" s="66">
        <f>J510+J509</f>
        <v>2944200</v>
      </c>
    </row>
    <row r="509" spans="2:10" ht="21" x14ac:dyDescent="0.2">
      <c r="B509" s="74" t="s">
        <v>997</v>
      </c>
      <c r="C509" s="63" t="s">
        <v>588</v>
      </c>
      <c r="D509" s="63" t="s">
        <v>941</v>
      </c>
      <c r="E509" s="63" t="s">
        <v>1034</v>
      </c>
      <c r="F509" s="63" t="s">
        <v>1167</v>
      </c>
      <c r="G509" s="63" t="s">
        <v>996</v>
      </c>
      <c r="H509" s="66">
        <v>2944200</v>
      </c>
      <c r="I509" s="66">
        <f t="shared" si="19"/>
        <v>0</v>
      </c>
      <c r="J509" s="66">
        <v>2944200</v>
      </c>
    </row>
    <row r="510" spans="2:10" ht="21" hidden="1" x14ac:dyDescent="0.2">
      <c r="B510" s="74" t="s">
        <v>434</v>
      </c>
      <c r="C510" s="63" t="s">
        <v>588</v>
      </c>
      <c r="D510" s="63" t="s">
        <v>941</v>
      </c>
      <c r="E510" s="63" t="s">
        <v>1034</v>
      </c>
      <c r="F510" s="63" t="s">
        <v>1167</v>
      </c>
      <c r="G510" s="63" t="s">
        <v>331</v>
      </c>
      <c r="H510" s="66">
        <v>0</v>
      </c>
      <c r="I510" s="66">
        <f t="shared" ref="I510:I594" si="21">J510-H510</f>
        <v>0</v>
      </c>
      <c r="J510" s="66">
        <v>0</v>
      </c>
    </row>
    <row r="511" spans="2:10" ht="31.5" x14ac:dyDescent="0.2">
      <c r="B511" s="69" t="s">
        <v>619</v>
      </c>
      <c r="C511" s="70" t="s">
        <v>618</v>
      </c>
      <c r="D511" s="70"/>
      <c r="E511" s="73"/>
      <c r="F511" s="70"/>
      <c r="G511" s="70"/>
      <c r="H511" s="68">
        <f>H512+H530+H544+H566+H570+H577+H537+H527+H556+H563+H533+H540+H548</f>
        <v>34036158</v>
      </c>
      <c r="I511" s="68">
        <f t="shared" si="21"/>
        <v>34838702</v>
      </c>
      <c r="J511" s="68">
        <f>J512+J530+J544+J566+J570+J577+J537+J527+J556+J563+J533+J540+J548</f>
        <v>68874860</v>
      </c>
    </row>
    <row r="512" spans="2:10" ht="31.5" x14ac:dyDescent="0.2">
      <c r="B512" s="74" t="s">
        <v>621</v>
      </c>
      <c r="C512" s="63" t="s">
        <v>618</v>
      </c>
      <c r="D512" s="63" t="s">
        <v>1031</v>
      </c>
      <c r="E512" s="63" t="s">
        <v>1035</v>
      </c>
      <c r="F512" s="63"/>
      <c r="G512" s="63"/>
      <c r="H512" s="66">
        <f>H516+H514+H524</f>
        <v>5802400</v>
      </c>
      <c r="I512" s="66">
        <f t="shared" si="21"/>
        <v>0</v>
      </c>
      <c r="J512" s="66">
        <f>J516+J514+J524</f>
        <v>5802400</v>
      </c>
    </row>
    <row r="513" spans="2:10" ht="63.75" customHeight="1" x14ac:dyDescent="0.2">
      <c r="B513" s="74" t="s">
        <v>1128</v>
      </c>
      <c r="C513" s="63" t="s">
        <v>618</v>
      </c>
      <c r="D513" s="63" t="s">
        <v>1031</v>
      </c>
      <c r="E513" s="63" t="s">
        <v>1035</v>
      </c>
      <c r="F513" s="63" t="s">
        <v>880</v>
      </c>
      <c r="G513" s="63"/>
      <c r="H513" s="65">
        <f>H516+H514</f>
        <v>5407400</v>
      </c>
      <c r="I513" s="66">
        <f t="shared" si="21"/>
        <v>0</v>
      </c>
      <c r="J513" s="65">
        <f>J516+J514</f>
        <v>5407400</v>
      </c>
    </row>
    <row r="514" spans="2:10" ht="56.25" customHeight="1" x14ac:dyDescent="0.2">
      <c r="B514" s="74" t="s">
        <v>1163</v>
      </c>
      <c r="C514" s="63" t="s">
        <v>618</v>
      </c>
      <c r="D514" s="63" t="s">
        <v>1031</v>
      </c>
      <c r="E514" s="63" t="s">
        <v>1035</v>
      </c>
      <c r="F514" s="63" t="s">
        <v>921</v>
      </c>
      <c r="G514" s="63"/>
      <c r="H514" s="65">
        <f>H515</f>
        <v>214800</v>
      </c>
      <c r="I514" s="66">
        <f t="shared" si="21"/>
        <v>0</v>
      </c>
      <c r="J514" s="65">
        <f>J515</f>
        <v>214800</v>
      </c>
    </row>
    <row r="515" spans="2:10" x14ac:dyDescent="0.2">
      <c r="B515" s="74" t="s">
        <v>431</v>
      </c>
      <c r="C515" s="63" t="s">
        <v>618</v>
      </c>
      <c r="D515" s="63" t="s">
        <v>1031</v>
      </c>
      <c r="E515" s="63" t="s">
        <v>1035</v>
      </c>
      <c r="F515" s="63" t="s">
        <v>921</v>
      </c>
      <c r="G515" s="63" t="s">
        <v>424</v>
      </c>
      <c r="H515" s="65">
        <f>165000+49800</f>
        <v>214800</v>
      </c>
      <c r="I515" s="66">
        <f t="shared" si="21"/>
        <v>0</v>
      </c>
      <c r="J515" s="65">
        <f>165000+49800</f>
        <v>214800</v>
      </c>
    </row>
    <row r="516" spans="2:10" ht="55.5" customHeight="1" x14ac:dyDescent="0.2">
      <c r="B516" s="74" t="s">
        <v>1164</v>
      </c>
      <c r="C516" s="63" t="s">
        <v>618</v>
      </c>
      <c r="D516" s="63" t="s">
        <v>1031</v>
      </c>
      <c r="E516" s="63" t="s">
        <v>1035</v>
      </c>
      <c r="F516" s="63" t="s">
        <v>920</v>
      </c>
      <c r="G516" s="63"/>
      <c r="H516" s="65">
        <f>H517+H518+H519+H520+H521+H522</f>
        <v>5192600</v>
      </c>
      <c r="I516" s="66">
        <f t="shared" si="21"/>
        <v>0</v>
      </c>
      <c r="J516" s="65">
        <f>J517+J518+J519+J520+J521+J522</f>
        <v>5192600</v>
      </c>
    </row>
    <row r="517" spans="2:10" x14ac:dyDescent="0.2">
      <c r="B517" s="74" t="s">
        <v>431</v>
      </c>
      <c r="C517" s="63" t="s">
        <v>618</v>
      </c>
      <c r="D517" s="63" t="s">
        <v>1031</v>
      </c>
      <c r="E517" s="63" t="s">
        <v>1035</v>
      </c>
      <c r="F517" s="63" t="s">
        <v>920</v>
      </c>
      <c r="G517" s="63" t="s">
        <v>424</v>
      </c>
      <c r="H517" s="66">
        <f>3719000+1118600</f>
        <v>4837600</v>
      </c>
      <c r="I517" s="66">
        <f t="shared" si="21"/>
        <v>0</v>
      </c>
      <c r="J517" s="66">
        <f>3719000+1118600</f>
        <v>4837600</v>
      </c>
    </row>
    <row r="518" spans="2:10" ht="21" x14ac:dyDescent="0.2">
      <c r="B518" s="74" t="s">
        <v>432</v>
      </c>
      <c r="C518" s="63" t="s">
        <v>618</v>
      </c>
      <c r="D518" s="63" t="s">
        <v>1031</v>
      </c>
      <c r="E518" s="63" t="s">
        <v>1035</v>
      </c>
      <c r="F518" s="63" t="s">
        <v>920</v>
      </c>
      <c r="G518" s="63" t="s">
        <v>425</v>
      </c>
      <c r="H518" s="65">
        <f>14700+6000+32500</f>
        <v>53200</v>
      </c>
      <c r="I518" s="66">
        <f t="shared" si="21"/>
        <v>0</v>
      </c>
      <c r="J518" s="65">
        <f>14700+6000+32500</f>
        <v>53200</v>
      </c>
    </row>
    <row r="519" spans="2:10" ht="21" x14ac:dyDescent="0.2">
      <c r="B519" s="74" t="s">
        <v>433</v>
      </c>
      <c r="C519" s="63" t="s">
        <v>618</v>
      </c>
      <c r="D519" s="63" t="s">
        <v>1031</v>
      </c>
      <c r="E519" s="63" t="s">
        <v>1035</v>
      </c>
      <c r="F519" s="63" t="s">
        <v>920</v>
      </c>
      <c r="G519" s="63" t="s">
        <v>427</v>
      </c>
      <c r="H519" s="65">
        <f>61000+12000+5000</f>
        <v>78000</v>
      </c>
      <c r="I519" s="66">
        <f t="shared" si="21"/>
        <v>0</v>
      </c>
      <c r="J519" s="65">
        <f>61000+12000+5000</f>
        <v>78000</v>
      </c>
    </row>
    <row r="520" spans="2:10" ht="21" x14ac:dyDescent="0.2">
      <c r="B520" s="74" t="s">
        <v>434</v>
      </c>
      <c r="C520" s="63" t="s">
        <v>618</v>
      </c>
      <c r="D520" s="63" t="s">
        <v>1031</v>
      </c>
      <c r="E520" s="63" t="s">
        <v>1035</v>
      </c>
      <c r="F520" s="63" t="s">
        <v>920</v>
      </c>
      <c r="G520" s="63" t="s">
        <v>423</v>
      </c>
      <c r="H520" s="65">
        <f>3000+13000+32000+158000</f>
        <v>206000</v>
      </c>
      <c r="I520" s="66">
        <f t="shared" si="21"/>
        <v>0</v>
      </c>
      <c r="J520" s="65">
        <f>3000+13000+32000+158000</f>
        <v>206000</v>
      </c>
    </row>
    <row r="521" spans="2:10" ht="16.5" customHeight="1" x14ac:dyDescent="0.2">
      <c r="B521" s="74" t="s">
        <v>393</v>
      </c>
      <c r="C521" s="63" t="s">
        <v>618</v>
      </c>
      <c r="D521" s="63" t="s">
        <v>1031</v>
      </c>
      <c r="E521" s="63" t="s">
        <v>1035</v>
      </c>
      <c r="F521" s="63" t="s">
        <v>920</v>
      </c>
      <c r="G521" s="63" t="s">
        <v>330</v>
      </c>
      <c r="H521" s="66">
        <v>11700</v>
      </c>
      <c r="I521" s="66">
        <f t="shared" si="21"/>
        <v>0</v>
      </c>
      <c r="J521" s="66">
        <v>11700</v>
      </c>
    </row>
    <row r="522" spans="2:10" x14ac:dyDescent="0.2">
      <c r="B522" s="74" t="s">
        <v>954</v>
      </c>
      <c r="C522" s="63" t="s">
        <v>618</v>
      </c>
      <c r="D522" s="63" t="s">
        <v>1031</v>
      </c>
      <c r="E522" s="63" t="s">
        <v>1035</v>
      </c>
      <c r="F522" s="63" t="s">
        <v>920</v>
      </c>
      <c r="G522" s="63" t="s">
        <v>249</v>
      </c>
      <c r="H522" s="66">
        <v>6100</v>
      </c>
      <c r="I522" s="66">
        <f t="shared" si="21"/>
        <v>0</v>
      </c>
      <c r="J522" s="66">
        <v>6100</v>
      </c>
    </row>
    <row r="523" spans="2:10" ht="63" x14ac:dyDescent="0.2">
      <c r="B523" s="74" t="s">
        <v>1133</v>
      </c>
      <c r="C523" s="63" t="s">
        <v>618</v>
      </c>
      <c r="D523" s="63" t="s">
        <v>1031</v>
      </c>
      <c r="E523" s="63" t="s">
        <v>1035</v>
      </c>
      <c r="F523" s="64" t="s">
        <v>882</v>
      </c>
      <c r="G523" s="63"/>
      <c r="H523" s="65">
        <f>H524</f>
        <v>395000</v>
      </c>
      <c r="I523" s="66">
        <f t="shared" si="21"/>
        <v>0</v>
      </c>
      <c r="J523" s="65">
        <f>J524</f>
        <v>395000</v>
      </c>
    </row>
    <row r="524" spans="2:10" ht="64.5" customHeight="1" x14ac:dyDescent="0.2">
      <c r="B524" s="74" t="s">
        <v>1134</v>
      </c>
      <c r="C524" s="63" t="s">
        <v>618</v>
      </c>
      <c r="D524" s="63" t="s">
        <v>1031</v>
      </c>
      <c r="E524" s="63" t="s">
        <v>1035</v>
      </c>
      <c r="F524" s="64" t="s">
        <v>884</v>
      </c>
      <c r="G524" s="63"/>
      <c r="H524" s="65">
        <f>H525+H526</f>
        <v>395000</v>
      </c>
      <c r="I524" s="66">
        <f t="shared" si="21"/>
        <v>0</v>
      </c>
      <c r="J524" s="65">
        <f>J525+J526</f>
        <v>395000</v>
      </c>
    </row>
    <row r="525" spans="2:10" ht="21" x14ac:dyDescent="0.2">
      <c r="B525" s="74" t="s">
        <v>433</v>
      </c>
      <c r="C525" s="63" t="s">
        <v>618</v>
      </c>
      <c r="D525" s="63" t="s">
        <v>1031</v>
      </c>
      <c r="E525" s="63" t="s">
        <v>1035</v>
      </c>
      <c r="F525" s="64" t="s">
        <v>884</v>
      </c>
      <c r="G525" s="63" t="s">
        <v>427</v>
      </c>
      <c r="H525" s="65">
        <f>120000+192000+35000+13000</f>
        <v>360000</v>
      </c>
      <c r="I525" s="66">
        <f t="shared" si="21"/>
        <v>0</v>
      </c>
      <c r="J525" s="65">
        <f>120000+192000+35000+13000</f>
        <v>360000</v>
      </c>
    </row>
    <row r="526" spans="2:10" ht="21" x14ac:dyDescent="0.2">
      <c r="B526" s="74" t="s">
        <v>434</v>
      </c>
      <c r="C526" s="63" t="s">
        <v>618</v>
      </c>
      <c r="D526" s="63" t="s">
        <v>1031</v>
      </c>
      <c r="E526" s="63" t="s">
        <v>1035</v>
      </c>
      <c r="F526" s="64" t="s">
        <v>884</v>
      </c>
      <c r="G526" s="63" t="s">
        <v>423</v>
      </c>
      <c r="H526" s="65">
        <v>35000</v>
      </c>
      <c r="I526" s="66">
        <f t="shared" si="21"/>
        <v>0</v>
      </c>
      <c r="J526" s="65">
        <v>35000</v>
      </c>
    </row>
    <row r="527" spans="2:10" x14ac:dyDescent="0.2">
      <c r="B527" s="74" t="s">
        <v>401</v>
      </c>
      <c r="C527" s="63" t="s">
        <v>618</v>
      </c>
      <c r="D527" s="63" t="s">
        <v>1031</v>
      </c>
      <c r="E527" s="63" t="s">
        <v>1036</v>
      </c>
      <c r="F527" s="64"/>
      <c r="G527" s="63"/>
      <c r="H527" s="65">
        <f>H528</f>
        <v>180000</v>
      </c>
      <c r="I527" s="66">
        <f t="shared" si="21"/>
        <v>0</v>
      </c>
      <c r="J527" s="65">
        <f>J528</f>
        <v>180000</v>
      </c>
    </row>
    <row r="528" spans="2:10" ht="21" x14ac:dyDescent="0.2">
      <c r="B528" s="74" t="s">
        <v>471</v>
      </c>
      <c r="C528" s="63" t="s">
        <v>618</v>
      </c>
      <c r="D528" s="63" t="s">
        <v>1031</v>
      </c>
      <c r="E528" s="63" t="s">
        <v>1036</v>
      </c>
      <c r="F528" s="64" t="s">
        <v>909</v>
      </c>
      <c r="G528" s="63"/>
      <c r="H528" s="65">
        <f>H529</f>
        <v>180000</v>
      </c>
      <c r="I528" s="66">
        <f t="shared" si="21"/>
        <v>0</v>
      </c>
      <c r="J528" s="65">
        <f>J529</f>
        <v>180000</v>
      </c>
    </row>
    <row r="529" spans="2:10" x14ac:dyDescent="0.2">
      <c r="B529" s="74" t="s">
        <v>396</v>
      </c>
      <c r="C529" s="63" t="s">
        <v>618</v>
      </c>
      <c r="D529" s="63" t="s">
        <v>1031</v>
      </c>
      <c r="E529" s="63" t="s">
        <v>1036</v>
      </c>
      <c r="F529" s="64" t="s">
        <v>909</v>
      </c>
      <c r="G529" s="63" t="s">
        <v>395</v>
      </c>
      <c r="H529" s="65">
        <v>180000</v>
      </c>
      <c r="I529" s="66">
        <f t="shared" si="21"/>
        <v>0</v>
      </c>
      <c r="J529" s="65">
        <v>180000</v>
      </c>
    </row>
    <row r="530" spans="2:10" x14ac:dyDescent="0.2">
      <c r="B530" s="109" t="s">
        <v>421</v>
      </c>
      <c r="C530" s="63" t="s">
        <v>618</v>
      </c>
      <c r="D530" s="108" t="s">
        <v>1032</v>
      </c>
      <c r="E530" s="64" t="s">
        <v>1033</v>
      </c>
      <c r="F530" s="64"/>
      <c r="G530" s="63"/>
      <c r="H530" s="65">
        <f>H531</f>
        <v>545200</v>
      </c>
      <c r="I530" s="66">
        <f t="shared" si="21"/>
        <v>0</v>
      </c>
      <c r="J530" s="65">
        <f>J531</f>
        <v>545200</v>
      </c>
    </row>
    <row r="531" spans="2:10" ht="21" x14ac:dyDescent="0.2">
      <c r="B531" s="109" t="s">
        <v>887</v>
      </c>
      <c r="C531" s="63" t="s">
        <v>618</v>
      </c>
      <c r="D531" s="108" t="s">
        <v>1032</v>
      </c>
      <c r="E531" s="64" t="s">
        <v>1033</v>
      </c>
      <c r="F531" s="64" t="s">
        <v>886</v>
      </c>
      <c r="G531" s="63"/>
      <c r="H531" s="65">
        <f>H532</f>
        <v>545200</v>
      </c>
      <c r="I531" s="66">
        <f t="shared" si="21"/>
        <v>0</v>
      </c>
      <c r="J531" s="65">
        <f>J532</f>
        <v>545200</v>
      </c>
    </row>
    <row r="532" spans="2:10" x14ac:dyDescent="0.2">
      <c r="B532" s="109" t="s">
        <v>446</v>
      </c>
      <c r="C532" s="63" t="s">
        <v>618</v>
      </c>
      <c r="D532" s="108" t="s">
        <v>1032</v>
      </c>
      <c r="E532" s="64" t="s">
        <v>1033</v>
      </c>
      <c r="F532" s="64" t="s">
        <v>886</v>
      </c>
      <c r="G532" s="63" t="s">
        <v>443</v>
      </c>
      <c r="H532" s="65">
        <v>545200</v>
      </c>
      <c r="I532" s="66">
        <f t="shared" si="21"/>
        <v>0</v>
      </c>
      <c r="J532" s="65">
        <v>545200</v>
      </c>
    </row>
    <row r="533" spans="2:10" ht="31.5" x14ac:dyDescent="0.2">
      <c r="B533" s="74" t="s">
        <v>507</v>
      </c>
      <c r="C533" s="63" t="s">
        <v>618</v>
      </c>
      <c r="D533" s="108" t="s">
        <v>1033</v>
      </c>
      <c r="E533" s="64" t="s">
        <v>1039</v>
      </c>
      <c r="F533" s="64"/>
      <c r="G533" s="63"/>
      <c r="H533" s="65">
        <f>H535</f>
        <v>0</v>
      </c>
      <c r="I533" s="66">
        <f t="shared" si="21"/>
        <v>1190000</v>
      </c>
      <c r="J533" s="65">
        <f>J535</f>
        <v>1190000</v>
      </c>
    </row>
    <row r="534" spans="2:10" ht="32.25" customHeight="1" x14ac:dyDescent="0.2">
      <c r="B534" s="109" t="s">
        <v>1263</v>
      </c>
      <c r="C534" s="63" t="s">
        <v>618</v>
      </c>
      <c r="D534" s="108" t="s">
        <v>1033</v>
      </c>
      <c r="E534" s="64" t="s">
        <v>1039</v>
      </c>
      <c r="F534" s="64" t="s">
        <v>794</v>
      </c>
      <c r="G534" s="63"/>
      <c r="H534" s="65">
        <f>H535</f>
        <v>0</v>
      </c>
      <c r="I534" s="66">
        <f t="shared" si="21"/>
        <v>1190000</v>
      </c>
      <c r="J534" s="65">
        <f>J535</f>
        <v>1190000</v>
      </c>
    </row>
    <row r="535" spans="2:10" ht="52.5" x14ac:dyDescent="0.2">
      <c r="B535" s="109" t="s">
        <v>1264</v>
      </c>
      <c r="C535" s="63" t="s">
        <v>618</v>
      </c>
      <c r="D535" s="108" t="s">
        <v>1033</v>
      </c>
      <c r="E535" s="64" t="s">
        <v>1039</v>
      </c>
      <c r="F535" s="64" t="s">
        <v>1262</v>
      </c>
      <c r="G535" s="63"/>
      <c r="H535" s="65">
        <f>H536</f>
        <v>0</v>
      </c>
      <c r="I535" s="66">
        <f t="shared" si="21"/>
        <v>1190000</v>
      </c>
      <c r="J535" s="65">
        <f>J536</f>
        <v>1190000</v>
      </c>
    </row>
    <row r="536" spans="2:10" x14ac:dyDescent="0.2">
      <c r="B536" s="74" t="s">
        <v>662</v>
      </c>
      <c r="C536" s="63" t="s">
        <v>618</v>
      </c>
      <c r="D536" s="108" t="s">
        <v>1033</v>
      </c>
      <c r="E536" s="64" t="s">
        <v>1039</v>
      </c>
      <c r="F536" s="64" t="s">
        <v>1262</v>
      </c>
      <c r="G536" s="63" t="s">
        <v>896</v>
      </c>
      <c r="H536" s="65">
        <v>0</v>
      </c>
      <c r="I536" s="66">
        <f t="shared" si="21"/>
        <v>1190000</v>
      </c>
      <c r="J536" s="65">
        <v>1190000</v>
      </c>
    </row>
    <row r="537" spans="2:10" x14ac:dyDescent="0.2">
      <c r="B537" s="109" t="s">
        <v>960</v>
      </c>
      <c r="C537" s="63" t="s">
        <v>618</v>
      </c>
      <c r="D537" s="63" t="s">
        <v>1034</v>
      </c>
      <c r="E537" s="63" t="s">
        <v>1039</v>
      </c>
      <c r="F537" s="64"/>
      <c r="G537" s="63"/>
      <c r="H537" s="65">
        <f>H538</f>
        <v>0</v>
      </c>
      <c r="I537" s="66">
        <f t="shared" si="21"/>
        <v>32400000</v>
      </c>
      <c r="J537" s="65">
        <f>J538</f>
        <v>32400000</v>
      </c>
    </row>
    <row r="538" spans="2:10" ht="84" customHeight="1" x14ac:dyDescent="0.2">
      <c r="B538" s="109" t="s">
        <v>1250</v>
      </c>
      <c r="C538" s="63" t="s">
        <v>618</v>
      </c>
      <c r="D538" s="63" t="s">
        <v>1034</v>
      </c>
      <c r="E538" s="63" t="s">
        <v>1039</v>
      </c>
      <c r="F538" s="64" t="s">
        <v>1277</v>
      </c>
      <c r="G538" s="63"/>
      <c r="H538" s="65">
        <f>H539</f>
        <v>0</v>
      </c>
      <c r="I538" s="66">
        <f t="shared" si="21"/>
        <v>32400000</v>
      </c>
      <c r="J538" s="65">
        <f>J539</f>
        <v>32400000</v>
      </c>
    </row>
    <row r="539" spans="2:10" ht="21" x14ac:dyDescent="0.2">
      <c r="B539" s="109" t="s">
        <v>1251</v>
      </c>
      <c r="C539" s="63" t="s">
        <v>618</v>
      </c>
      <c r="D539" s="63" t="s">
        <v>1034</v>
      </c>
      <c r="E539" s="63" t="s">
        <v>1039</v>
      </c>
      <c r="F539" s="64" t="s">
        <v>1277</v>
      </c>
      <c r="G539" s="63" t="s">
        <v>1249</v>
      </c>
      <c r="H539" s="65">
        <v>0</v>
      </c>
      <c r="I539" s="66">
        <f t="shared" si="21"/>
        <v>32400000</v>
      </c>
      <c r="J539" s="65">
        <v>32400000</v>
      </c>
    </row>
    <row r="540" spans="2:10" x14ac:dyDescent="0.2">
      <c r="B540" s="74" t="s">
        <v>520</v>
      </c>
      <c r="C540" s="63" t="s">
        <v>618</v>
      </c>
      <c r="D540" s="63" t="s">
        <v>1034</v>
      </c>
      <c r="E540" s="63" t="s">
        <v>1042</v>
      </c>
      <c r="F540" s="64"/>
      <c r="G540" s="63"/>
      <c r="H540" s="65">
        <f>H542</f>
        <v>0</v>
      </c>
      <c r="I540" s="66">
        <f t="shared" si="21"/>
        <v>532770</v>
      </c>
      <c r="J540" s="65">
        <f>J542</f>
        <v>532770</v>
      </c>
    </row>
    <row r="541" spans="2:10" ht="31.5" x14ac:dyDescent="0.2">
      <c r="B541" s="109" t="s">
        <v>1267</v>
      </c>
      <c r="C541" s="63" t="s">
        <v>618</v>
      </c>
      <c r="D541" s="63" t="s">
        <v>1034</v>
      </c>
      <c r="E541" s="63" t="s">
        <v>1042</v>
      </c>
      <c r="F541" s="64" t="s">
        <v>806</v>
      </c>
      <c r="G541" s="63"/>
      <c r="H541" s="65">
        <f>H542</f>
        <v>0</v>
      </c>
      <c r="I541" s="66">
        <f t="shared" si="21"/>
        <v>532770</v>
      </c>
      <c r="J541" s="65">
        <f>J542</f>
        <v>532770</v>
      </c>
    </row>
    <row r="542" spans="2:10" ht="52.5" x14ac:dyDescent="0.2">
      <c r="B542" s="109" t="s">
        <v>1266</v>
      </c>
      <c r="C542" s="63" t="s">
        <v>618</v>
      </c>
      <c r="D542" s="63" t="s">
        <v>1034</v>
      </c>
      <c r="E542" s="63" t="s">
        <v>1042</v>
      </c>
      <c r="F542" s="64" t="s">
        <v>1265</v>
      </c>
      <c r="G542" s="63"/>
      <c r="H542" s="65">
        <f>H543</f>
        <v>0</v>
      </c>
      <c r="I542" s="66">
        <f t="shared" si="21"/>
        <v>532770</v>
      </c>
      <c r="J542" s="65">
        <f>J543</f>
        <v>532770</v>
      </c>
    </row>
    <row r="543" spans="2:10" x14ac:dyDescent="0.2">
      <c r="B543" s="74" t="s">
        <v>662</v>
      </c>
      <c r="C543" s="63" t="s">
        <v>618</v>
      </c>
      <c r="D543" s="63" t="s">
        <v>1034</v>
      </c>
      <c r="E543" s="63" t="s">
        <v>1042</v>
      </c>
      <c r="F543" s="64" t="s">
        <v>1265</v>
      </c>
      <c r="G543" s="63" t="s">
        <v>896</v>
      </c>
      <c r="H543" s="65">
        <v>0</v>
      </c>
      <c r="I543" s="66">
        <f t="shared" si="21"/>
        <v>532770</v>
      </c>
      <c r="J543" s="65">
        <v>532770</v>
      </c>
    </row>
    <row r="544" spans="2:10" x14ac:dyDescent="0.2">
      <c r="B544" s="74" t="s">
        <v>627</v>
      </c>
      <c r="C544" s="63" t="s">
        <v>618</v>
      </c>
      <c r="D544" s="63" t="s">
        <v>1041</v>
      </c>
      <c r="E544" s="63" t="s">
        <v>1032</v>
      </c>
      <c r="F544" s="63"/>
      <c r="G544" s="63"/>
      <c r="H544" s="66">
        <f>H546</f>
        <v>0</v>
      </c>
      <c r="I544" s="66">
        <f t="shared" si="21"/>
        <v>1477908</v>
      </c>
      <c r="J544" s="66">
        <f>J546</f>
        <v>1477908</v>
      </c>
    </row>
    <row r="545" spans="2:10" ht="33.75" customHeight="1" x14ac:dyDescent="0.2">
      <c r="B545" s="74" t="s">
        <v>1269</v>
      </c>
      <c r="C545" s="63" t="s">
        <v>618</v>
      </c>
      <c r="D545" s="63" t="s">
        <v>1041</v>
      </c>
      <c r="E545" s="63" t="s">
        <v>1032</v>
      </c>
      <c r="F545" s="63" t="s">
        <v>810</v>
      </c>
      <c r="G545" s="63"/>
      <c r="H545" s="66">
        <f>H546</f>
        <v>0</v>
      </c>
      <c r="I545" s="66">
        <f t="shared" si="21"/>
        <v>1477908</v>
      </c>
      <c r="J545" s="66">
        <f>J546</f>
        <v>1477908</v>
      </c>
    </row>
    <row r="546" spans="2:10" ht="42" x14ac:dyDescent="0.2">
      <c r="B546" s="74" t="s">
        <v>1270</v>
      </c>
      <c r="C546" s="63" t="s">
        <v>618</v>
      </c>
      <c r="D546" s="63" t="s">
        <v>1041</v>
      </c>
      <c r="E546" s="63" t="s">
        <v>1032</v>
      </c>
      <c r="F546" s="63" t="s">
        <v>1268</v>
      </c>
      <c r="G546" s="63"/>
      <c r="H546" s="66">
        <f>H547</f>
        <v>0</v>
      </c>
      <c r="I546" s="66">
        <f t="shared" si="21"/>
        <v>1477908</v>
      </c>
      <c r="J546" s="66">
        <f>J547</f>
        <v>1477908</v>
      </c>
    </row>
    <row r="547" spans="2:10" x14ac:dyDescent="0.2">
      <c r="B547" s="74" t="s">
        <v>662</v>
      </c>
      <c r="C547" s="63" t="s">
        <v>618</v>
      </c>
      <c r="D547" s="63" t="s">
        <v>1041</v>
      </c>
      <c r="E547" s="63" t="s">
        <v>1032</v>
      </c>
      <c r="F547" s="63" t="s">
        <v>1268</v>
      </c>
      <c r="G547" s="63" t="s">
        <v>896</v>
      </c>
      <c r="H547" s="65">
        <v>0</v>
      </c>
      <c r="I547" s="66">
        <f t="shared" si="21"/>
        <v>1477908</v>
      </c>
      <c r="J547" s="65">
        <v>1477908</v>
      </c>
    </row>
    <row r="548" spans="2:10" x14ac:dyDescent="0.2">
      <c r="B548" s="74" t="s">
        <v>634</v>
      </c>
      <c r="C548" s="63" t="s">
        <v>618</v>
      </c>
      <c r="D548" s="63" t="s">
        <v>1041</v>
      </c>
      <c r="E548" s="63" t="s">
        <v>1033</v>
      </c>
      <c r="F548" s="63"/>
      <c r="G548" s="63"/>
      <c r="H548" s="65">
        <f>H550+H552+H554</f>
        <v>0</v>
      </c>
      <c r="I548" s="66">
        <f t="shared" si="21"/>
        <v>1501080</v>
      </c>
      <c r="J548" s="65">
        <f>J550+J552+J554</f>
        <v>1501080</v>
      </c>
    </row>
    <row r="549" spans="2:10" ht="31.5" x14ac:dyDescent="0.2">
      <c r="B549" s="74" t="s">
        <v>1269</v>
      </c>
      <c r="C549" s="63" t="s">
        <v>618</v>
      </c>
      <c r="D549" s="63" t="s">
        <v>1041</v>
      </c>
      <c r="E549" s="63" t="s">
        <v>1033</v>
      </c>
      <c r="F549" s="63" t="s">
        <v>810</v>
      </c>
      <c r="G549" s="63"/>
      <c r="H549" s="67">
        <f>H550+H552+H554</f>
        <v>0</v>
      </c>
      <c r="I549" s="66">
        <f t="shared" si="21"/>
        <v>1501080</v>
      </c>
      <c r="J549" s="67">
        <f>J550+J552+J554</f>
        <v>1501080</v>
      </c>
    </row>
    <row r="550" spans="2:10" ht="42" x14ac:dyDescent="0.2">
      <c r="B550" s="74" t="s">
        <v>1274</v>
      </c>
      <c r="C550" s="63" t="s">
        <v>618</v>
      </c>
      <c r="D550" s="63" t="s">
        <v>1041</v>
      </c>
      <c r="E550" s="63" t="s">
        <v>1033</v>
      </c>
      <c r="F550" s="63" t="s">
        <v>1271</v>
      </c>
      <c r="G550" s="63"/>
      <c r="H550" s="67">
        <f>H551</f>
        <v>0</v>
      </c>
      <c r="I550" s="66">
        <f t="shared" si="21"/>
        <v>608580</v>
      </c>
      <c r="J550" s="67">
        <f>J551</f>
        <v>608580</v>
      </c>
    </row>
    <row r="551" spans="2:10" x14ac:dyDescent="0.2">
      <c r="B551" s="74" t="s">
        <v>662</v>
      </c>
      <c r="C551" s="63" t="s">
        <v>618</v>
      </c>
      <c r="D551" s="63" t="s">
        <v>1041</v>
      </c>
      <c r="E551" s="63" t="s">
        <v>1033</v>
      </c>
      <c r="F551" s="63" t="s">
        <v>1271</v>
      </c>
      <c r="G551" s="63" t="s">
        <v>896</v>
      </c>
      <c r="H551" s="67">
        <v>0</v>
      </c>
      <c r="I551" s="66">
        <f t="shared" si="21"/>
        <v>608580</v>
      </c>
      <c r="J551" s="67">
        <v>608580</v>
      </c>
    </row>
    <row r="552" spans="2:10" ht="42" x14ac:dyDescent="0.2">
      <c r="B552" s="74" t="s">
        <v>1275</v>
      </c>
      <c r="C552" s="63" t="s">
        <v>618</v>
      </c>
      <c r="D552" s="63" t="s">
        <v>1041</v>
      </c>
      <c r="E552" s="63" t="s">
        <v>1033</v>
      </c>
      <c r="F552" s="63" t="s">
        <v>1272</v>
      </c>
      <c r="G552" s="63"/>
      <c r="H552" s="67">
        <f>H553</f>
        <v>0</v>
      </c>
      <c r="I552" s="66">
        <f t="shared" si="21"/>
        <v>780000</v>
      </c>
      <c r="J552" s="67">
        <f>J553</f>
        <v>780000</v>
      </c>
    </row>
    <row r="553" spans="2:10" x14ac:dyDescent="0.2">
      <c r="B553" s="74" t="s">
        <v>662</v>
      </c>
      <c r="C553" s="63" t="s">
        <v>618</v>
      </c>
      <c r="D553" s="63" t="s">
        <v>1041</v>
      </c>
      <c r="E553" s="63" t="s">
        <v>1033</v>
      </c>
      <c r="F553" s="63" t="s">
        <v>1272</v>
      </c>
      <c r="G553" s="63" t="s">
        <v>896</v>
      </c>
      <c r="H553" s="65">
        <v>0</v>
      </c>
      <c r="I553" s="66">
        <f t="shared" si="21"/>
        <v>780000</v>
      </c>
      <c r="J553" s="65">
        <v>780000</v>
      </c>
    </row>
    <row r="554" spans="2:10" ht="42" x14ac:dyDescent="0.2">
      <c r="B554" s="74" t="s">
        <v>1276</v>
      </c>
      <c r="C554" s="63" t="s">
        <v>618</v>
      </c>
      <c r="D554" s="63" t="s">
        <v>1041</v>
      </c>
      <c r="E554" s="63" t="s">
        <v>1033</v>
      </c>
      <c r="F554" s="63" t="s">
        <v>1273</v>
      </c>
      <c r="G554" s="63"/>
      <c r="H554" s="65">
        <f>H555</f>
        <v>0</v>
      </c>
      <c r="I554" s="66">
        <f t="shared" si="21"/>
        <v>112500</v>
      </c>
      <c r="J554" s="65">
        <f>J555</f>
        <v>112500</v>
      </c>
    </row>
    <row r="555" spans="2:10" x14ac:dyDescent="0.2">
      <c r="B555" s="74" t="s">
        <v>662</v>
      </c>
      <c r="C555" s="63" t="s">
        <v>618</v>
      </c>
      <c r="D555" s="63" t="s">
        <v>1041</v>
      </c>
      <c r="E555" s="63" t="s">
        <v>1033</v>
      </c>
      <c r="F555" s="63" t="s">
        <v>1273</v>
      </c>
      <c r="G555" s="63" t="s">
        <v>896</v>
      </c>
      <c r="H555" s="65">
        <v>0</v>
      </c>
      <c r="I555" s="66">
        <f t="shared" si="21"/>
        <v>112500</v>
      </c>
      <c r="J555" s="65">
        <v>112500</v>
      </c>
    </row>
    <row r="556" spans="2:10" x14ac:dyDescent="0.2">
      <c r="B556" s="74" t="s">
        <v>574</v>
      </c>
      <c r="C556" s="63" t="s">
        <v>618</v>
      </c>
      <c r="D556" s="63" t="s">
        <v>1043</v>
      </c>
      <c r="E556" s="63" t="s">
        <v>1031</v>
      </c>
      <c r="F556" s="63"/>
      <c r="G556" s="63"/>
      <c r="H556" s="65">
        <f>H557+H559+H561</f>
        <v>0</v>
      </c>
      <c r="I556" s="66">
        <f t="shared" si="21"/>
        <v>1061502</v>
      </c>
      <c r="J556" s="65">
        <f>J557+J559+J561</f>
        <v>1061502</v>
      </c>
    </row>
    <row r="557" spans="2:10" ht="78.75" customHeight="1" x14ac:dyDescent="0.2">
      <c r="B557" s="74" t="s">
        <v>1253</v>
      </c>
      <c r="C557" s="63" t="s">
        <v>618</v>
      </c>
      <c r="D557" s="63" t="s">
        <v>1043</v>
      </c>
      <c r="E557" s="63" t="s">
        <v>1031</v>
      </c>
      <c r="F557" s="63" t="s">
        <v>1230</v>
      </c>
      <c r="G557" s="63"/>
      <c r="H557" s="65">
        <f>H558</f>
        <v>0</v>
      </c>
      <c r="I557" s="66">
        <f t="shared" si="21"/>
        <v>728935.17</v>
      </c>
      <c r="J557" s="65">
        <f>J558</f>
        <v>728935.17</v>
      </c>
    </row>
    <row r="558" spans="2:10" ht="32.25" customHeight="1" x14ac:dyDescent="0.2">
      <c r="B558" s="74" t="s">
        <v>1252</v>
      </c>
      <c r="C558" s="63" t="s">
        <v>618</v>
      </c>
      <c r="D558" s="63" t="s">
        <v>1043</v>
      </c>
      <c r="E558" s="63" t="s">
        <v>1031</v>
      </c>
      <c r="F558" s="63" t="s">
        <v>1230</v>
      </c>
      <c r="G558" s="63" t="s">
        <v>923</v>
      </c>
      <c r="H558" s="65">
        <v>0</v>
      </c>
      <c r="I558" s="66">
        <f t="shared" si="21"/>
        <v>728935.17</v>
      </c>
      <c r="J558" s="65">
        <v>728935.17</v>
      </c>
    </row>
    <row r="559" spans="2:10" ht="89.25" customHeight="1" x14ac:dyDescent="0.2">
      <c r="B559" s="74" t="s">
        <v>1254</v>
      </c>
      <c r="C559" s="63" t="s">
        <v>618</v>
      </c>
      <c r="D559" s="63" t="s">
        <v>1043</v>
      </c>
      <c r="E559" s="63" t="s">
        <v>1031</v>
      </c>
      <c r="F559" s="63" t="s">
        <v>1278</v>
      </c>
      <c r="G559" s="63"/>
      <c r="H559" s="65">
        <f>H560</f>
        <v>0</v>
      </c>
      <c r="I559" s="66">
        <f t="shared" si="21"/>
        <v>120694.83</v>
      </c>
      <c r="J559" s="65">
        <f>J560</f>
        <v>120694.83</v>
      </c>
    </row>
    <row r="560" spans="2:10" x14ac:dyDescent="0.2">
      <c r="B560" s="74" t="s">
        <v>662</v>
      </c>
      <c r="C560" s="63" t="s">
        <v>618</v>
      </c>
      <c r="D560" s="63" t="s">
        <v>1043</v>
      </c>
      <c r="E560" s="63" t="s">
        <v>1031</v>
      </c>
      <c r="F560" s="63" t="s">
        <v>1278</v>
      </c>
      <c r="G560" s="63" t="s">
        <v>896</v>
      </c>
      <c r="H560" s="65">
        <v>0</v>
      </c>
      <c r="I560" s="66">
        <f t="shared" si="21"/>
        <v>120694.83</v>
      </c>
      <c r="J560" s="65">
        <v>120694.83</v>
      </c>
    </row>
    <row r="561" spans="2:10" ht="63" x14ac:dyDescent="0.2">
      <c r="B561" s="74" t="s">
        <v>1255</v>
      </c>
      <c r="C561" s="63" t="s">
        <v>618</v>
      </c>
      <c r="D561" s="63" t="s">
        <v>1043</v>
      </c>
      <c r="E561" s="63" t="s">
        <v>1031</v>
      </c>
      <c r="F561" s="63" t="s">
        <v>1239</v>
      </c>
      <c r="G561" s="63"/>
      <c r="H561" s="65">
        <f>H562</f>
        <v>0</v>
      </c>
      <c r="I561" s="66">
        <f t="shared" si="21"/>
        <v>211872</v>
      </c>
      <c r="J561" s="65">
        <f>J562</f>
        <v>211872</v>
      </c>
    </row>
    <row r="562" spans="2:10" ht="31.5" customHeight="1" x14ac:dyDescent="0.2">
      <c r="B562" s="74" t="s">
        <v>1252</v>
      </c>
      <c r="C562" s="63" t="s">
        <v>618</v>
      </c>
      <c r="D562" s="63" t="s">
        <v>1043</v>
      </c>
      <c r="E562" s="63" t="s">
        <v>1031</v>
      </c>
      <c r="F562" s="63" t="s">
        <v>1239</v>
      </c>
      <c r="G562" s="63" t="s">
        <v>923</v>
      </c>
      <c r="H562" s="65">
        <v>0</v>
      </c>
      <c r="I562" s="66">
        <f t="shared" si="21"/>
        <v>211872</v>
      </c>
      <c r="J562" s="65">
        <v>211872</v>
      </c>
    </row>
    <row r="563" spans="2:10" ht="16.5" customHeight="1" x14ac:dyDescent="0.2">
      <c r="B563" s="74" t="s">
        <v>541</v>
      </c>
      <c r="C563" s="63" t="s">
        <v>618</v>
      </c>
      <c r="D563" s="63" t="s">
        <v>941</v>
      </c>
      <c r="E563" s="63" t="s">
        <v>1033</v>
      </c>
      <c r="F563" s="63"/>
      <c r="G563" s="63"/>
      <c r="H563" s="65">
        <f>H564</f>
        <v>0</v>
      </c>
      <c r="I563" s="66">
        <f t="shared" si="21"/>
        <v>97200</v>
      </c>
      <c r="J563" s="65">
        <f>J564</f>
        <v>97200</v>
      </c>
    </row>
    <row r="564" spans="2:10" ht="66.75" customHeight="1" x14ac:dyDescent="0.2">
      <c r="B564" s="74" t="s">
        <v>1257</v>
      </c>
      <c r="C564" s="63" t="s">
        <v>618</v>
      </c>
      <c r="D564" s="63" t="s">
        <v>941</v>
      </c>
      <c r="E564" s="63" t="s">
        <v>1033</v>
      </c>
      <c r="F564" s="63" t="s">
        <v>1256</v>
      </c>
      <c r="G564" s="63"/>
      <c r="H564" s="65">
        <f>H565</f>
        <v>0</v>
      </c>
      <c r="I564" s="66">
        <f t="shared" si="21"/>
        <v>97200</v>
      </c>
      <c r="J564" s="65">
        <f>J565</f>
        <v>97200</v>
      </c>
    </row>
    <row r="565" spans="2:10" ht="31.5" customHeight="1" x14ac:dyDescent="0.2">
      <c r="B565" s="74" t="s">
        <v>1252</v>
      </c>
      <c r="C565" s="63" t="s">
        <v>618</v>
      </c>
      <c r="D565" s="63" t="s">
        <v>941</v>
      </c>
      <c r="E565" s="63" t="s">
        <v>1033</v>
      </c>
      <c r="F565" s="63" t="s">
        <v>1256</v>
      </c>
      <c r="G565" s="63" t="s">
        <v>923</v>
      </c>
      <c r="H565" s="65">
        <v>0</v>
      </c>
      <c r="I565" s="66">
        <f t="shared" si="21"/>
        <v>97200</v>
      </c>
      <c r="J565" s="65">
        <v>97200</v>
      </c>
    </row>
    <row r="566" spans="2:10" x14ac:dyDescent="0.2">
      <c r="B566" s="74" t="s">
        <v>336</v>
      </c>
      <c r="C566" s="63" t="s">
        <v>618</v>
      </c>
      <c r="D566" s="63" t="s">
        <v>1038</v>
      </c>
      <c r="E566" s="63" t="s">
        <v>1031</v>
      </c>
      <c r="F566" s="63"/>
      <c r="G566" s="63"/>
      <c r="H566" s="65">
        <f>H568</f>
        <v>100000</v>
      </c>
      <c r="I566" s="66">
        <f t="shared" si="21"/>
        <v>0</v>
      </c>
      <c r="J566" s="65">
        <f>J568</f>
        <v>100000</v>
      </c>
    </row>
    <row r="567" spans="2:10" ht="68.25" customHeight="1" x14ac:dyDescent="0.2">
      <c r="B567" s="74" t="s">
        <v>1015</v>
      </c>
      <c r="C567" s="63" t="s">
        <v>618</v>
      </c>
      <c r="D567" s="63" t="s">
        <v>1038</v>
      </c>
      <c r="E567" s="63" t="s">
        <v>1031</v>
      </c>
      <c r="F567" s="63" t="s">
        <v>888</v>
      </c>
      <c r="G567" s="63"/>
      <c r="H567" s="65">
        <f t="shared" ref="H567:J568" si="22">H568</f>
        <v>100000</v>
      </c>
      <c r="I567" s="66">
        <f t="shared" si="21"/>
        <v>0</v>
      </c>
      <c r="J567" s="65">
        <f t="shared" si="22"/>
        <v>100000</v>
      </c>
    </row>
    <row r="568" spans="2:10" ht="57" customHeight="1" x14ac:dyDescent="0.2">
      <c r="B568" s="74" t="s">
        <v>1135</v>
      </c>
      <c r="C568" s="63" t="s">
        <v>618</v>
      </c>
      <c r="D568" s="63" t="s">
        <v>1038</v>
      </c>
      <c r="E568" s="63" t="s">
        <v>1031</v>
      </c>
      <c r="F568" s="63" t="s">
        <v>763</v>
      </c>
      <c r="G568" s="63"/>
      <c r="H568" s="65">
        <f t="shared" si="22"/>
        <v>100000</v>
      </c>
      <c r="I568" s="66">
        <f t="shared" si="21"/>
        <v>0</v>
      </c>
      <c r="J568" s="65">
        <f t="shared" si="22"/>
        <v>100000</v>
      </c>
    </row>
    <row r="569" spans="2:10" x14ac:dyDescent="0.2">
      <c r="B569" s="74" t="s">
        <v>337</v>
      </c>
      <c r="C569" s="63" t="s">
        <v>618</v>
      </c>
      <c r="D569" s="63" t="s">
        <v>1038</v>
      </c>
      <c r="E569" s="63" t="s">
        <v>1031</v>
      </c>
      <c r="F569" s="63" t="s">
        <v>763</v>
      </c>
      <c r="G569" s="63" t="s">
        <v>335</v>
      </c>
      <c r="H569" s="65">
        <v>100000</v>
      </c>
      <c r="I569" s="66">
        <f t="shared" si="21"/>
        <v>0</v>
      </c>
      <c r="J569" s="65">
        <v>100000</v>
      </c>
    </row>
    <row r="570" spans="2:10" ht="31.5" x14ac:dyDescent="0.2">
      <c r="B570" s="74" t="s">
        <v>398</v>
      </c>
      <c r="C570" s="63" t="s">
        <v>618</v>
      </c>
      <c r="D570" s="63" t="s">
        <v>1040</v>
      </c>
      <c r="E570" s="63" t="s">
        <v>1031</v>
      </c>
      <c r="F570" s="63"/>
      <c r="G570" s="63"/>
      <c r="H570" s="65">
        <f>H572+H575</f>
        <v>23751800</v>
      </c>
      <c r="I570" s="66">
        <f t="shared" si="21"/>
        <v>0</v>
      </c>
      <c r="J570" s="65">
        <f>J572+J575</f>
        <v>23751800</v>
      </c>
    </row>
    <row r="571" spans="2:10" ht="67.5" customHeight="1" x14ac:dyDescent="0.2">
      <c r="B571" s="74" t="s">
        <v>1015</v>
      </c>
      <c r="C571" s="63" t="s">
        <v>618</v>
      </c>
      <c r="D571" s="63" t="s">
        <v>1040</v>
      </c>
      <c r="E571" s="63" t="s">
        <v>1031</v>
      </c>
      <c r="F571" s="63" t="s">
        <v>888</v>
      </c>
      <c r="G571" s="63"/>
      <c r="H571" s="65">
        <f t="shared" ref="H571:J572" si="23">H572</f>
        <v>18391200</v>
      </c>
      <c r="I571" s="66">
        <f t="shared" si="21"/>
        <v>0</v>
      </c>
      <c r="J571" s="65">
        <f t="shared" si="23"/>
        <v>18391200</v>
      </c>
    </row>
    <row r="572" spans="2:10" ht="63" x14ac:dyDescent="0.2">
      <c r="B572" s="74" t="s">
        <v>1016</v>
      </c>
      <c r="C572" s="63" t="s">
        <v>618</v>
      </c>
      <c r="D572" s="63" t="s">
        <v>1040</v>
      </c>
      <c r="E572" s="63" t="s">
        <v>1031</v>
      </c>
      <c r="F572" s="63" t="s">
        <v>770</v>
      </c>
      <c r="G572" s="63"/>
      <c r="H572" s="65">
        <f t="shared" si="23"/>
        <v>18391200</v>
      </c>
      <c r="I572" s="66">
        <f t="shared" si="21"/>
        <v>0</v>
      </c>
      <c r="J572" s="65">
        <f t="shared" si="23"/>
        <v>18391200</v>
      </c>
    </row>
    <row r="573" spans="2:10" ht="21" x14ac:dyDescent="0.2">
      <c r="B573" s="74" t="s">
        <v>445</v>
      </c>
      <c r="C573" s="63" t="s">
        <v>618</v>
      </c>
      <c r="D573" s="63" t="s">
        <v>1040</v>
      </c>
      <c r="E573" s="63" t="s">
        <v>1031</v>
      </c>
      <c r="F573" s="63" t="s">
        <v>770</v>
      </c>
      <c r="G573" s="63" t="s">
        <v>444</v>
      </c>
      <c r="H573" s="65">
        <v>18391200</v>
      </c>
      <c r="I573" s="66">
        <f t="shared" si="21"/>
        <v>0</v>
      </c>
      <c r="J573" s="65">
        <v>18391200</v>
      </c>
    </row>
    <row r="574" spans="2:10" ht="73.5" x14ac:dyDescent="0.2">
      <c r="B574" s="74" t="s">
        <v>1018</v>
      </c>
      <c r="C574" s="63" t="s">
        <v>618</v>
      </c>
      <c r="D574" s="63" t="s">
        <v>1040</v>
      </c>
      <c r="E574" s="63" t="s">
        <v>1031</v>
      </c>
      <c r="F574" s="63" t="s">
        <v>882</v>
      </c>
      <c r="G574" s="63"/>
      <c r="H574" s="65">
        <f t="shared" ref="H574:J575" si="24">H575</f>
        <v>5360600</v>
      </c>
      <c r="I574" s="66">
        <f t="shared" si="21"/>
        <v>0</v>
      </c>
      <c r="J574" s="65">
        <f t="shared" si="24"/>
        <v>5360600</v>
      </c>
    </row>
    <row r="575" spans="2:10" ht="63" x14ac:dyDescent="0.2">
      <c r="B575" s="74" t="s">
        <v>1019</v>
      </c>
      <c r="C575" s="63" t="s">
        <v>618</v>
      </c>
      <c r="D575" s="63" t="s">
        <v>1040</v>
      </c>
      <c r="E575" s="63" t="s">
        <v>1031</v>
      </c>
      <c r="F575" s="63" t="s">
        <v>1056</v>
      </c>
      <c r="G575" s="63"/>
      <c r="H575" s="65">
        <f t="shared" si="24"/>
        <v>5360600</v>
      </c>
      <c r="I575" s="66">
        <f t="shared" si="21"/>
        <v>0</v>
      </c>
      <c r="J575" s="65">
        <f t="shared" si="24"/>
        <v>5360600</v>
      </c>
    </row>
    <row r="576" spans="2:10" ht="21" x14ac:dyDescent="0.2">
      <c r="B576" s="74" t="s">
        <v>445</v>
      </c>
      <c r="C576" s="63" t="s">
        <v>618</v>
      </c>
      <c r="D576" s="63" t="s">
        <v>1040</v>
      </c>
      <c r="E576" s="63" t="s">
        <v>1031</v>
      </c>
      <c r="F576" s="63" t="s">
        <v>1056</v>
      </c>
      <c r="G576" s="63" t="s">
        <v>444</v>
      </c>
      <c r="H576" s="65">
        <v>5360600</v>
      </c>
      <c r="I576" s="66">
        <f t="shared" si="21"/>
        <v>0</v>
      </c>
      <c r="J576" s="65">
        <v>5360600</v>
      </c>
    </row>
    <row r="577" spans="2:10" x14ac:dyDescent="0.2">
      <c r="B577" s="74" t="s">
        <v>893</v>
      </c>
      <c r="C577" s="63" t="s">
        <v>618</v>
      </c>
      <c r="D577" s="63" t="s">
        <v>1040</v>
      </c>
      <c r="E577" s="63" t="s">
        <v>1033</v>
      </c>
      <c r="F577" s="63"/>
      <c r="G577" s="63"/>
      <c r="H577" s="65">
        <f>H583+H579+H581+H585+H587+H589+H591</f>
        <v>3656758</v>
      </c>
      <c r="I577" s="66">
        <f t="shared" si="21"/>
        <v>-3421758</v>
      </c>
      <c r="J577" s="65">
        <f>J583+J579+J581+J585+J587+J589+J591</f>
        <v>235000</v>
      </c>
    </row>
    <row r="578" spans="2:10" ht="63" customHeight="1" x14ac:dyDescent="0.2">
      <c r="B578" s="74" t="s">
        <v>1015</v>
      </c>
      <c r="C578" s="63" t="s">
        <v>618</v>
      </c>
      <c r="D578" s="63" t="s">
        <v>1040</v>
      </c>
      <c r="E578" s="63" t="s">
        <v>1033</v>
      </c>
      <c r="F578" s="63" t="s">
        <v>888</v>
      </c>
      <c r="G578" s="63"/>
      <c r="H578" s="65">
        <f>H583+H579+H581+H585+H587+H589+H591</f>
        <v>3656758</v>
      </c>
      <c r="I578" s="66">
        <f t="shared" si="21"/>
        <v>-3421758</v>
      </c>
      <c r="J578" s="65">
        <f>J583+J579+J581+J585+J587+J589+J591</f>
        <v>235000</v>
      </c>
    </row>
    <row r="579" spans="2:10" ht="36.75" customHeight="1" x14ac:dyDescent="0.2">
      <c r="B579" s="74" t="s">
        <v>1184</v>
      </c>
      <c r="C579" s="63" t="s">
        <v>618</v>
      </c>
      <c r="D579" s="63" t="s">
        <v>1040</v>
      </c>
      <c r="E579" s="63" t="s">
        <v>1033</v>
      </c>
      <c r="F579" s="63" t="s">
        <v>1182</v>
      </c>
      <c r="G579" s="63"/>
      <c r="H579" s="65">
        <f>H580</f>
        <v>140000</v>
      </c>
      <c r="I579" s="66">
        <f t="shared" si="21"/>
        <v>-140000</v>
      </c>
      <c r="J579" s="65">
        <f>J580</f>
        <v>0</v>
      </c>
    </row>
    <row r="580" spans="2:10" ht="12.75" customHeight="1" x14ac:dyDescent="0.2">
      <c r="B580" s="74" t="s">
        <v>662</v>
      </c>
      <c r="C580" s="63" t="s">
        <v>618</v>
      </c>
      <c r="D580" s="63" t="s">
        <v>1040</v>
      </c>
      <c r="E580" s="63" t="s">
        <v>1033</v>
      </c>
      <c r="F580" s="63" t="s">
        <v>1182</v>
      </c>
      <c r="G580" s="63" t="s">
        <v>896</v>
      </c>
      <c r="H580" s="65">
        <v>140000</v>
      </c>
      <c r="I580" s="66">
        <f t="shared" si="21"/>
        <v>-140000</v>
      </c>
      <c r="J580" s="65">
        <v>0</v>
      </c>
    </row>
    <row r="581" spans="2:10" ht="34.5" customHeight="1" x14ac:dyDescent="0.2">
      <c r="B581" s="74" t="s">
        <v>1185</v>
      </c>
      <c r="C581" s="63" t="s">
        <v>618</v>
      </c>
      <c r="D581" s="63" t="s">
        <v>1040</v>
      </c>
      <c r="E581" s="63" t="s">
        <v>1033</v>
      </c>
      <c r="F581" s="63" t="s">
        <v>1183</v>
      </c>
      <c r="G581" s="63"/>
      <c r="H581" s="65">
        <f>H582</f>
        <v>378580</v>
      </c>
      <c r="I581" s="66">
        <f t="shared" si="21"/>
        <v>-378580</v>
      </c>
      <c r="J581" s="65">
        <f>J582</f>
        <v>0</v>
      </c>
    </row>
    <row r="582" spans="2:10" x14ac:dyDescent="0.2">
      <c r="B582" s="74" t="s">
        <v>662</v>
      </c>
      <c r="C582" s="63" t="s">
        <v>618</v>
      </c>
      <c r="D582" s="63" t="s">
        <v>1040</v>
      </c>
      <c r="E582" s="63" t="s">
        <v>1033</v>
      </c>
      <c r="F582" s="63" t="s">
        <v>1183</v>
      </c>
      <c r="G582" s="63" t="s">
        <v>896</v>
      </c>
      <c r="H582" s="65">
        <v>378580</v>
      </c>
      <c r="I582" s="66">
        <f t="shared" si="21"/>
        <v>-378580</v>
      </c>
      <c r="J582" s="65">
        <v>0</v>
      </c>
    </row>
    <row r="583" spans="2:10" ht="52.5" x14ac:dyDescent="0.2">
      <c r="B583" s="74" t="s">
        <v>1017</v>
      </c>
      <c r="C583" s="63" t="s">
        <v>618</v>
      </c>
      <c r="D583" s="63" t="s">
        <v>1040</v>
      </c>
      <c r="E583" s="63" t="s">
        <v>1033</v>
      </c>
      <c r="F583" s="63" t="s">
        <v>894</v>
      </c>
      <c r="G583" s="63"/>
      <c r="H583" s="65">
        <f>H584</f>
        <v>235000</v>
      </c>
      <c r="I583" s="66">
        <f t="shared" si="21"/>
        <v>0</v>
      </c>
      <c r="J583" s="65">
        <f>J584</f>
        <v>235000</v>
      </c>
    </row>
    <row r="584" spans="2:10" x14ac:dyDescent="0.2">
      <c r="B584" s="74" t="s">
        <v>662</v>
      </c>
      <c r="C584" s="63" t="s">
        <v>618</v>
      </c>
      <c r="D584" s="63" t="s">
        <v>1040</v>
      </c>
      <c r="E584" s="63" t="s">
        <v>1033</v>
      </c>
      <c r="F584" s="63" t="s">
        <v>894</v>
      </c>
      <c r="G584" s="63" t="s">
        <v>896</v>
      </c>
      <c r="H584" s="65">
        <f>195000+40000</f>
        <v>235000</v>
      </c>
      <c r="I584" s="66">
        <f t="shared" si="21"/>
        <v>0</v>
      </c>
      <c r="J584" s="65">
        <f>195000+40000</f>
        <v>235000</v>
      </c>
    </row>
    <row r="585" spans="2:10" ht="43.5" customHeight="1" x14ac:dyDescent="0.2">
      <c r="B585" s="74" t="s">
        <v>1190</v>
      </c>
      <c r="C585" s="63" t="s">
        <v>618</v>
      </c>
      <c r="D585" s="63" t="s">
        <v>1040</v>
      </c>
      <c r="E585" s="63" t="s">
        <v>1033</v>
      </c>
      <c r="F585" s="63" t="s">
        <v>1186</v>
      </c>
      <c r="G585" s="63"/>
      <c r="H585" s="65">
        <f>H586</f>
        <v>780000</v>
      </c>
      <c r="I585" s="66">
        <f t="shared" si="21"/>
        <v>-780000</v>
      </c>
      <c r="J585" s="65">
        <f>J586</f>
        <v>0</v>
      </c>
    </row>
    <row r="586" spans="2:10" ht="13.5" customHeight="1" x14ac:dyDescent="0.2">
      <c r="B586" s="74" t="s">
        <v>662</v>
      </c>
      <c r="C586" s="63" t="s">
        <v>618</v>
      </c>
      <c r="D586" s="63" t="s">
        <v>1040</v>
      </c>
      <c r="E586" s="63" t="s">
        <v>1033</v>
      </c>
      <c r="F586" s="63" t="s">
        <v>1186</v>
      </c>
      <c r="G586" s="63" t="s">
        <v>896</v>
      </c>
      <c r="H586" s="65">
        <v>780000</v>
      </c>
      <c r="I586" s="66">
        <f t="shared" si="21"/>
        <v>-780000</v>
      </c>
      <c r="J586" s="65">
        <v>0</v>
      </c>
    </row>
    <row r="587" spans="2:10" ht="45" customHeight="1" x14ac:dyDescent="0.2">
      <c r="B587" s="74" t="s">
        <v>1191</v>
      </c>
      <c r="C587" s="63" t="s">
        <v>618</v>
      </c>
      <c r="D587" s="63" t="s">
        <v>1040</v>
      </c>
      <c r="E587" s="63" t="s">
        <v>1033</v>
      </c>
      <c r="F587" s="63" t="s">
        <v>1187</v>
      </c>
      <c r="G587" s="63"/>
      <c r="H587" s="65">
        <f>H588</f>
        <v>112500</v>
      </c>
      <c r="I587" s="66">
        <f t="shared" si="21"/>
        <v>-112500</v>
      </c>
      <c r="J587" s="65">
        <f>J588</f>
        <v>0</v>
      </c>
    </row>
    <row r="588" spans="2:10" ht="16.5" customHeight="1" x14ac:dyDescent="0.2">
      <c r="B588" s="74" t="s">
        <v>662</v>
      </c>
      <c r="C588" s="63" t="s">
        <v>618</v>
      </c>
      <c r="D588" s="63" t="s">
        <v>1040</v>
      </c>
      <c r="E588" s="63" t="s">
        <v>1033</v>
      </c>
      <c r="F588" s="63" t="s">
        <v>1187</v>
      </c>
      <c r="G588" s="63" t="s">
        <v>896</v>
      </c>
      <c r="H588" s="65">
        <v>112500</v>
      </c>
      <c r="I588" s="66">
        <f t="shared" si="21"/>
        <v>-112500</v>
      </c>
      <c r="J588" s="65">
        <v>0</v>
      </c>
    </row>
    <row r="589" spans="2:10" ht="45" customHeight="1" x14ac:dyDescent="0.2">
      <c r="B589" s="74" t="s">
        <v>1192</v>
      </c>
      <c r="C589" s="63" t="s">
        <v>618</v>
      </c>
      <c r="D589" s="63" t="s">
        <v>1040</v>
      </c>
      <c r="E589" s="63" t="s">
        <v>1033</v>
      </c>
      <c r="F589" s="63" t="s">
        <v>1188</v>
      </c>
      <c r="G589" s="63"/>
      <c r="H589" s="65">
        <f>H590</f>
        <v>1477908</v>
      </c>
      <c r="I589" s="66">
        <f t="shared" si="21"/>
        <v>-1477908</v>
      </c>
      <c r="J589" s="65">
        <f>J590</f>
        <v>0</v>
      </c>
    </row>
    <row r="590" spans="2:10" ht="15" customHeight="1" x14ac:dyDescent="0.2">
      <c r="B590" s="74" t="s">
        <v>662</v>
      </c>
      <c r="C590" s="63" t="s">
        <v>618</v>
      </c>
      <c r="D590" s="63" t="s">
        <v>1040</v>
      </c>
      <c r="E590" s="63" t="s">
        <v>1033</v>
      </c>
      <c r="F590" s="63" t="s">
        <v>1188</v>
      </c>
      <c r="G590" s="63" t="s">
        <v>896</v>
      </c>
      <c r="H590" s="65">
        <v>1477908</v>
      </c>
      <c r="I590" s="66">
        <f t="shared" si="21"/>
        <v>-1477908</v>
      </c>
      <c r="J590" s="65">
        <v>0</v>
      </c>
    </row>
    <row r="591" spans="2:10" ht="54.75" customHeight="1" x14ac:dyDescent="0.2">
      <c r="B591" s="74" t="s">
        <v>1193</v>
      </c>
      <c r="C591" s="63" t="s">
        <v>618</v>
      </c>
      <c r="D591" s="63" t="s">
        <v>1040</v>
      </c>
      <c r="E591" s="63" t="s">
        <v>1033</v>
      </c>
      <c r="F591" s="63" t="s">
        <v>1189</v>
      </c>
      <c r="G591" s="63"/>
      <c r="H591" s="65">
        <f>H592</f>
        <v>532770</v>
      </c>
      <c r="I591" s="66">
        <f t="shared" si="21"/>
        <v>-532770</v>
      </c>
      <c r="J591" s="65">
        <f>J592</f>
        <v>0</v>
      </c>
    </row>
    <row r="592" spans="2:10" ht="13.5" customHeight="1" x14ac:dyDescent="0.2">
      <c r="B592" s="74" t="s">
        <v>662</v>
      </c>
      <c r="C592" s="63" t="s">
        <v>618</v>
      </c>
      <c r="D592" s="63" t="s">
        <v>1040</v>
      </c>
      <c r="E592" s="63" t="s">
        <v>1033</v>
      </c>
      <c r="F592" s="63" t="s">
        <v>1189</v>
      </c>
      <c r="G592" s="63" t="s">
        <v>896</v>
      </c>
      <c r="H592" s="65">
        <v>532770</v>
      </c>
      <c r="I592" s="66">
        <f t="shared" si="21"/>
        <v>-532770</v>
      </c>
      <c r="J592" s="65">
        <v>0</v>
      </c>
    </row>
    <row r="593" spans="2:10" hidden="1" x14ac:dyDescent="0.2">
      <c r="B593" s="74" t="s">
        <v>257</v>
      </c>
      <c r="C593" s="63"/>
      <c r="D593" s="63" t="s">
        <v>1044</v>
      </c>
      <c r="E593" s="63" t="s">
        <v>1044</v>
      </c>
      <c r="F593" s="63" t="s">
        <v>772</v>
      </c>
      <c r="G593" s="63" t="s">
        <v>259</v>
      </c>
      <c r="H593" s="85">
        <v>0</v>
      </c>
      <c r="I593" s="66">
        <f t="shared" si="21"/>
        <v>0</v>
      </c>
      <c r="J593" s="85">
        <v>0</v>
      </c>
    </row>
    <row r="594" spans="2:10" ht="18.75" customHeight="1" x14ac:dyDescent="0.2">
      <c r="B594" s="114" t="s">
        <v>1045</v>
      </c>
      <c r="C594" s="115"/>
      <c r="D594" s="115"/>
      <c r="E594" s="115"/>
      <c r="F594" s="115"/>
      <c r="G594" s="116"/>
      <c r="H594" s="68">
        <f>H17+H326+H394+H511+H593</f>
        <v>418964518.29999995</v>
      </c>
      <c r="I594" s="66">
        <f t="shared" si="21"/>
        <v>60832983.600000024</v>
      </c>
      <c r="J594" s="68">
        <f>J17+J326+J394+J511+J593</f>
        <v>479797501.89999998</v>
      </c>
    </row>
    <row r="595" spans="2:10" hidden="1" x14ac:dyDescent="0.2"/>
    <row r="596" spans="2:10" hidden="1" x14ac:dyDescent="0.2">
      <c r="H596" s="80">
        <v>412600920</v>
      </c>
      <c r="I596" s="80">
        <f>J596-H596</f>
        <v>2456098.3000000119</v>
      </c>
      <c r="J596" s="80">
        <v>415057018.30000001</v>
      </c>
    </row>
    <row r="597" spans="2:10" hidden="1" x14ac:dyDescent="0.2">
      <c r="H597" s="79"/>
      <c r="I597" s="86"/>
      <c r="J597" s="86"/>
    </row>
    <row r="598" spans="2:10" hidden="1" x14ac:dyDescent="0.2">
      <c r="H598" s="80">
        <f>H596-H594</f>
        <v>-6363598.2999999523</v>
      </c>
      <c r="J598" s="80">
        <f>J594-J596</f>
        <v>64740483.599999964</v>
      </c>
    </row>
    <row r="599" spans="2:10" hidden="1" x14ac:dyDescent="0.2"/>
    <row r="600" spans="2:10" hidden="1" x14ac:dyDescent="0.2"/>
    <row r="601" spans="2:10" ht="3.75" hidden="1" customHeight="1" x14ac:dyDescent="0.2"/>
    <row r="602" spans="2:10" hidden="1" x14ac:dyDescent="0.2"/>
    <row r="603" spans="2:10" hidden="1" x14ac:dyDescent="0.2"/>
    <row r="604" spans="2:10" hidden="1" x14ac:dyDescent="0.2"/>
    <row r="605" spans="2:10" hidden="1" x14ac:dyDescent="0.2"/>
    <row r="606" spans="2:10" hidden="1" x14ac:dyDescent="0.2"/>
    <row r="607" spans="2:10" ht="6.75" hidden="1" customHeight="1" x14ac:dyDescent="0.2"/>
    <row r="608" spans="2:10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t="3" hidden="1" customHeight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t="5.25" hidden="1" customHeight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t="4.5" hidden="1" customHeight="1" x14ac:dyDescent="0.2"/>
    <row r="767" hidden="1" x14ac:dyDescent="0.2"/>
    <row r="768" hidden="1" x14ac:dyDescent="0.2"/>
    <row r="769" spans="8:10" hidden="1" x14ac:dyDescent="0.2"/>
    <row r="770" spans="8:10" hidden="1" x14ac:dyDescent="0.2"/>
    <row r="771" spans="8:10" hidden="1" x14ac:dyDescent="0.2"/>
    <row r="772" spans="8:10" hidden="1" x14ac:dyDescent="0.2">
      <c r="H772" s="79"/>
      <c r="I772" s="79"/>
      <c r="J772" s="79"/>
    </row>
    <row r="773" spans="8:10" hidden="1" x14ac:dyDescent="0.2">
      <c r="H773" s="79"/>
      <c r="I773" s="79"/>
      <c r="J773" s="79"/>
    </row>
    <row r="774" spans="8:10" hidden="1" x14ac:dyDescent="0.2">
      <c r="H774" s="79"/>
      <c r="I774" s="79"/>
      <c r="J774" s="79"/>
    </row>
    <row r="775" spans="8:10" hidden="1" x14ac:dyDescent="0.2">
      <c r="H775" s="79"/>
      <c r="I775" s="79"/>
      <c r="J775" s="79"/>
    </row>
    <row r="776" spans="8:10" hidden="1" x14ac:dyDescent="0.2">
      <c r="H776" s="79"/>
      <c r="I776" s="79"/>
      <c r="J776" s="79"/>
    </row>
    <row r="777" spans="8:10" hidden="1" x14ac:dyDescent="0.2">
      <c r="H777" s="79"/>
      <c r="I777" s="79"/>
      <c r="J777" s="79"/>
    </row>
    <row r="778" spans="8:10" hidden="1" x14ac:dyDescent="0.2">
      <c r="H778" s="79"/>
      <c r="I778" s="79"/>
      <c r="J778" s="79"/>
    </row>
    <row r="779" spans="8:10" hidden="1" x14ac:dyDescent="0.2">
      <c r="H779" s="79"/>
      <c r="I779" s="79"/>
      <c r="J779" s="79"/>
    </row>
    <row r="780" spans="8:10" hidden="1" x14ac:dyDescent="0.2">
      <c r="H780" s="79"/>
      <c r="I780" s="79"/>
      <c r="J780" s="79"/>
    </row>
    <row r="781" spans="8:10" hidden="1" x14ac:dyDescent="0.2">
      <c r="H781" s="79"/>
      <c r="I781" s="79"/>
      <c r="J781" s="79"/>
    </row>
    <row r="782" spans="8:10" ht="2.25" hidden="1" customHeight="1" x14ac:dyDescent="0.2">
      <c r="H782" s="79"/>
      <c r="I782" s="79"/>
      <c r="J782" s="79"/>
    </row>
    <row r="783" spans="8:10" hidden="1" x14ac:dyDescent="0.2">
      <c r="H783" s="79"/>
      <c r="I783" s="79"/>
      <c r="J783" s="79"/>
    </row>
    <row r="784" spans="8:10" hidden="1" x14ac:dyDescent="0.2">
      <c r="H784" s="79"/>
      <c r="I784" s="79"/>
      <c r="J784" s="79"/>
    </row>
    <row r="785" spans="8:10" hidden="1" x14ac:dyDescent="0.2">
      <c r="H785" s="79"/>
      <c r="I785" s="79"/>
      <c r="J785" s="79"/>
    </row>
    <row r="786" spans="8:10" hidden="1" x14ac:dyDescent="0.2">
      <c r="H786" s="79"/>
      <c r="I786" s="79"/>
      <c r="J786" s="79"/>
    </row>
    <row r="787" spans="8:10" hidden="1" x14ac:dyDescent="0.2">
      <c r="H787" s="79"/>
      <c r="I787" s="79"/>
      <c r="J787" s="79"/>
    </row>
    <row r="788" spans="8:10" hidden="1" x14ac:dyDescent="0.2">
      <c r="H788" s="79"/>
      <c r="I788" s="79"/>
      <c r="J788" s="79"/>
    </row>
    <row r="789" spans="8:10" hidden="1" x14ac:dyDescent="0.2">
      <c r="H789" s="79"/>
      <c r="I789" s="79"/>
      <c r="J789" s="79"/>
    </row>
    <row r="790" spans="8:10" hidden="1" x14ac:dyDescent="0.2">
      <c r="H790" s="79"/>
      <c r="I790" s="79"/>
      <c r="J790" s="79"/>
    </row>
    <row r="791" spans="8:10" hidden="1" x14ac:dyDescent="0.2">
      <c r="H791" s="79"/>
      <c r="I791" s="79"/>
      <c r="J791" s="79"/>
    </row>
    <row r="792" spans="8:10" hidden="1" x14ac:dyDescent="0.2">
      <c r="H792" s="79"/>
      <c r="I792" s="79"/>
      <c r="J792" s="79"/>
    </row>
    <row r="793" spans="8:10" ht="3" hidden="1" customHeight="1" x14ac:dyDescent="0.2">
      <c r="H793" s="79"/>
      <c r="I793" s="79"/>
      <c r="J793" s="79"/>
    </row>
    <row r="794" spans="8:10" hidden="1" x14ac:dyDescent="0.2">
      <c r="H794" s="79"/>
      <c r="I794" s="79"/>
      <c r="J794" s="79"/>
    </row>
    <row r="795" spans="8:10" hidden="1" x14ac:dyDescent="0.2">
      <c r="H795" s="79"/>
      <c r="I795" s="79"/>
      <c r="J795" s="79"/>
    </row>
    <row r="796" spans="8:10" hidden="1" x14ac:dyDescent="0.2">
      <c r="H796" s="79"/>
      <c r="I796" s="79"/>
      <c r="J796" s="79"/>
    </row>
    <row r="797" spans="8:10" hidden="1" x14ac:dyDescent="0.2">
      <c r="H797" s="79"/>
      <c r="I797" s="79"/>
      <c r="J797" s="79"/>
    </row>
    <row r="798" spans="8:10" hidden="1" x14ac:dyDescent="0.2">
      <c r="H798" s="79"/>
      <c r="I798" s="79"/>
      <c r="J798" s="79"/>
    </row>
    <row r="799" spans="8:10" hidden="1" x14ac:dyDescent="0.2">
      <c r="H799" s="79"/>
      <c r="I799" s="79"/>
      <c r="J799" s="79"/>
    </row>
    <row r="800" spans="8:10" hidden="1" x14ac:dyDescent="0.2">
      <c r="H800" s="79"/>
      <c r="I800" s="79"/>
      <c r="J800" s="79"/>
    </row>
    <row r="801" spans="8:10" hidden="1" x14ac:dyDescent="0.2">
      <c r="H801" s="79"/>
      <c r="I801" s="79"/>
      <c r="J801" s="79"/>
    </row>
    <row r="802" spans="8:10" hidden="1" x14ac:dyDescent="0.2">
      <c r="H802" s="79"/>
      <c r="I802" s="79"/>
      <c r="J802" s="79"/>
    </row>
    <row r="803" spans="8:10" hidden="1" x14ac:dyDescent="0.2">
      <c r="H803" s="79"/>
      <c r="I803" s="79"/>
      <c r="J803" s="79"/>
    </row>
    <row r="804" spans="8:10" hidden="1" x14ac:dyDescent="0.2">
      <c r="H804" s="79"/>
      <c r="I804" s="79"/>
      <c r="J804" s="79"/>
    </row>
    <row r="805" spans="8:10" hidden="1" x14ac:dyDescent="0.2">
      <c r="H805" s="79"/>
      <c r="I805" s="79"/>
      <c r="J805" s="79"/>
    </row>
    <row r="806" spans="8:10" hidden="1" x14ac:dyDescent="0.2">
      <c r="H806" s="79"/>
      <c r="I806" s="79"/>
      <c r="J806" s="79"/>
    </row>
    <row r="807" spans="8:10" hidden="1" x14ac:dyDescent="0.2">
      <c r="H807" s="79"/>
      <c r="I807" s="79"/>
      <c r="J807" s="79"/>
    </row>
    <row r="808" spans="8:10" ht="1.5" hidden="1" customHeight="1" x14ac:dyDescent="0.2">
      <c r="H808" s="79"/>
      <c r="I808" s="79"/>
      <c r="J808" s="79"/>
    </row>
    <row r="809" spans="8:10" hidden="1" x14ac:dyDescent="0.2">
      <c r="H809" s="79"/>
      <c r="I809" s="79"/>
      <c r="J809" s="79"/>
    </row>
    <row r="810" spans="8:10" hidden="1" x14ac:dyDescent="0.2">
      <c r="H810" s="79"/>
      <c r="I810" s="79"/>
      <c r="J810" s="79"/>
    </row>
    <row r="811" spans="8:10" hidden="1" x14ac:dyDescent="0.2">
      <c r="H811" s="79"/>
      <c r="I811" s="79"/>
      <c r="J811" s="79"/>
    </row>
    <row r="812" spans="8:10" hidden="1" x14ac:dyDescent="0.2">
      <c r="H812" s="79"/>
      <c r="I812" s="79"/>
      <c r="J812" s="79"/>
    </row>
    <row r="813" spans="8:10" hidden="1" x14ac:dyDescent="0.2">
      <c r="H813" s="79"/>
      <c r="I813" s="79"/>
      <c r="J813" s="79"/>
    </row>
    <row r="814" spans="8:10" hidden="1" x14ac:dyDescent="0.2">
      <c r="H814" s="79"/>
      <c r="I814" s="79"/>
      <c r="J814" s="79"/>
    </row>
    <row r="815" spans="8:10" hidden="1" x14ac:dyDescent="0.2">
      <c r="H815" s="79"/>
      <c r="I815" s="79"/>
      <c r="J815" s="79"/>
    </row>
    <row r="816" spans="8:10" hidden="1" x14ac:dyDescent="0.2">
      <c r="H816" s="79"/>
      <c r="I816" s="79"/>
      <c r="J816" s="79"/>
    </row>
    <row r="817" spans="8:10" hidden="1" x14ac:dyDescent="0.2">
      <c r="H817" s="79"/>
      <c r="I817" s="79"/>
      <c r="J817" s="79"/>
    </row>
    <row r="818" spans="8:10" hidden="1" x14ac:dyDescent="0.2">
      <c r="H818" s="79"/>
      <c r="I818" s="79"/>
      <c r="J818" s="79"/>
    </row>
    <row r="819" spans="8:10" hidden="1" x14ac:dyDescent="0.2">
      <c r="H819" s="79"/>
      <c r="I819" s="79"/>
      <c r="J819" s="79"/>
    </row>
    <row r="820" spans="8:10" hidden="1" x14ac:dyDescent="0.2">
      <c r="H820" s="79"/>
      <c r="I820" s="79"/>
      <c r="J820" s="79"/>
    </row>
    <row r="821" spans="8:10" hidden="1" x14ac:dyDescent="0.2">
      <c r="H821" s="79"/>
      <c r="I821" s="79"/>
      <c r="J821" s="79"/>
    </row>
    <row r="822" spans="8:10" hidden="1" x14ac:dyDescent="0.2">
      <c r="H822" s="79"/>
      <c r="I822" s="79"/>
      <c r="J822" s="79"/>
    </row>
    <row r="823" spans="8:10" hidden="1" x14ac:dyDescent="0.2">
      <c r="H823" s="79"/>
      <c r="I823" s="79"/>
      <c r="J823" s="79"/>
    </row>
    <row r="824" spans="8:10" hidden="1" x14ac:dyDescent="0.2">
      <c r="H824" s="79"/>
      <c r="I824" s="79"/>
      <c r="J824" s="79"/>
    </row>
    <row r="825" spans="8:10" hidden="1" x14ac:dyDescent="0.2">
      <c r="H825" s="79"/>
      <c r="I825" s="79"/>
      <c r="J825" s="79"/>
    </row>
    <row r="826" spans="8:10" ht="12" hidden="1" customHeight="1" x14ac:dyDescent="0.2">
      <c r="H826" s="79"/>
      <c r="I826" s="79"/>
      <c r="J826" s="79"/>
    </row>
    <row r="827" spans="8:10" hidden="1" x14ac:dyDescent="0.2">
      <c r="H827" s="79"/>
      <c r="I827" s="79"/>
      <c r="J827" s="79"/>
    </row>
    <row r="828" spans="8:10" hidden="1" x14ac:dyDescent="0.2">
      <c r="H828" s="79"/>
      <c r="I828" s="79"/>
      <c r="J828" s="79"/>
    </row>
    <row r="829" spans="8:10" hidden="1" x14ac:dyDescent="0.2">
      <c r="H829" s="79"/>
      <c r="I829" s="79"/>
      <c r="J829" s="79"/>
    </row>
    <row r="830" spans="8:10" hidden="1" x14ac:dyDescent="0.2">
      <c r="H830" s="79"/>
      <c r="I830" s="79"/>
      <c r="J830" s="79"/>
    </row>
    <row r="831" spans="8:10" hidden="1" x14ac:dyDescent="0.2">
      <c r="H831" s="79"/>
      <c r="I831" s="79"/>
      <c r="J831" s="79"/>
    </row>
    <row r="832" spans="8:10" hidden="1" x14ac:dyDescent="0.2">
      <c r="H832" s="79"/>
      <c r="I832" s="79"/>
      <c r="J832" s="79"/>
    </row>
    <row r="833" spans="8:10" hidden="1" x14ac:dyDescent="0.2">
      <c r="H833" s="79"/>
      <c r="I833" s="79"/>
      <c r="J833" s="79"/>
    </row>
    <row r="834" spans="8:10" hidden="1" x14ac:dyDescent="0.2">
      <c r="H834" s="79"/>
      <c r="I834" s="79"/>
      <c r="J834" s="79"/>
    </row>
    <row r="835" spans="8:10" hidden="1" x14ac:dyDescent="0.2">
      <c r="H835" s="79"/>
      <c r="I835" s="79"/>
      <c r="J835" s="79"/>
    </row>
    <row r="836" spans="8:10" hidden="1" x14ac:dyDescent="0.2">
      <c r="H836" s="79"/>
      <c r="I836" s="79"/>
      <c r="J836" s="79"/>
    </row>
    <row r="837" spans="8:10" hidden="1" x14ac:dyDescent="0.2">
      <c r="H837" s="79"/>
      <c r="I837" s="79"/>
      <c r="J837" s="79"/>
    </row>
    <row r="838" spans="8:10" hidden="1" x14ac:dyDescent="0.2">
      <c r="H838" s="79"/>
      <c r="I838" s="79"/>
      <c r="J838" s="79"/>
    </row>
    <row r="839" spans="8:10" hidden="1" x14ac:dyDescent="0.2">
      <c r="H839" s="79"/>
      <c r="I839" s="79"/>
      <c r="J839" s="79"/>
    </row>
    <row r="840" spans="8:10" hidden="1" x14ac:dyDescent="0.2">
      <c r="H840" s="79"/>
      <c r="I840" s="79"/>
      <c r="J840" s="79"/>
    </row>
    <row r="841" spans="8:10" hidden="1" x14ac:dyDescent="0.2">
      <c r="H841" s="79"/>
      <c r="I841" s="79"/>
      <c r="J841" s="79"/>
    </row>
    <row r="842" spans="8:10" hidden="1" x14ac:dyDescent="0.2">
      <c r="H842" s="79"/>
      <c r="I842" s="79"/>
      <c r="J842" s="79"/>
    </row>
    <row r="843" spans="8:10" hidden="1" x14ac:dyDescent="0.2">
      <c r="H843" s="79"/>
      <c r="I843" s="79"/>
      <c r="J843" s="79"/>
    </row>
    <row r="844" spans="8:10" hidden="1" x14ac:dyDescent="0.2">
      <c r="H844" s="79"/>
      <c r="I844" s="79"/>
      <c r="J844" s="79"/>
    </row>
    <row r="845" spans="8:10" hidden="1" x14ac:dyDescent="0.2">
      <c r="H845" s="79"/>
      <c r="I845" s="79"/>
      <c r="J845" s="79"/>
    </row>
    <row r="846" spans="8:10" hidden="1" x14ac:dyDescent="0.2">
      <c r="H846" s="79"/>
      <c r="I846" s="79"/>
      <c r="J846" s="79"/>
    </row>
    <row r="847" spans="8:10" hidden="1" x14ac:dyDescent="0.2">
      <c r="H847" s="79"/>
      <c r="I847" s="79"/>
      <c r="J847" s="79"/>
    </row>
    <row r="848" spans="8:10" ht="3" hidden="1" customHeight="1" x14ac:dyDescent="0.2">
      <c r="H848" s="79"/>
      <c r="I848" s="79"/>
      <c r="J848" s="79"/>
    </row>
    <row r="849" spans="8:10" hidden="1" x14ac:dyDescent="0.2">
      <c r="H849" s="79"/>
      <c r="I849" s="79"/>
      <c r="J849" s="79"/>
    </row>
    <row r="850" spans="8:10" hidden="1" x14ac:dyDescent="0.2">
      <c r="H850" s="79"/>
      <c r="I850" s="79"/>
      <c r="J850" s="79"/>
    </row>
    <row r="851" spans="8:10" hidden="1" x14ac:dyDescent="0.2">
      <c r="H851" s="79"/>
      <c r="I851" s="79"/>
      <c r="J851" s="79"/>
    </row>
    <row r="852" spans="8:10" hidden="1" x14ac:dyDescent="0.2">
      <c r="H852" s="79"/>
      <c r="I852" s="79"/>
      <c r="J852" s="79"/>
    </row>
    <row r="853" spans="8:10" hidden="1" x14ac:dyDescent="0.2">
      <c r="H853" s="79"/>
      <c r="I853" s="79"/>
      <c r="J853" s="79"/>
    </row>
    <row r="854" spans="8:10" hidden="1" x14ac:dyDescent="0.2">
      <c r="H854" s="79"/>
      <c r="I854" s="79"/>
      <c r="J854" s="79"/>
    </row>
    <row r="855" spans="8:10" hidden="1" x14ac:dyDescent="0.2">
      <c r="H855" s="79"/>
      <c r="I855" s="79"/>
      <c r="J855" s="79"/>
    </row>
    <row r="856" spans="8:10" hidden="1" x14ac:dyDescent="0.2">
      <c r="H856" s="79"/>
      <c r="I856" s="79"/>
      <c r="J856" s="79"/>
    </row>
    <row r="857" spans="8:10" hidden="1" x14ac:dyDescent="0.2">
      <c r="H857" s="79"/>
      <c r="I857" s="79"/>
      <c r="J857" s="79"/>
    </row>
    <row r="858" spans="8:10" hidden="1" x14ac:dyDescent="0.2">
      <c r="H858" s="79"/>
      <c r="I858" s="79"/>
      <c r="J858" s="79"/>
    </row>
    <row r="859" spans="8:10" hidden="1" x14ac:dyDescent="0.2">
      <c r="H859" s="79"/>
      <c r="I859" s="79"/>
      <c r="J859" s="79"/>
    </row>
    <row r="860" spans="8:10" hidden="1" x14ac:dyDescent="0.2">
      <c r="H860" s="79"/>
      <c r="I860" s="79"/>
      <c r="J860" s="79"/>
    </row>
    <row r="861" spans="8:10" hidden="1" x14ac:dyDescent="0.2">
      <c r="H861" s="79"/>
      <c r="I861" s="79"/>
      <c r="J861" s="79"/>
    </row>
    <row r="862" spans="8:10" hidden="1" x14ac:dyDescent="0.2">
      <c r="H862" s="79"/>
      <c r="I862" s="79"/>
      <c r="J862" s="79"/>
    </row>
    <row r="863" spans="8:10" hidden="1" x14ac:dyDescent="0.2">
      <c r="H863" s="79"/>
      <c r="I863" s="79"/>
      <c r="J863" s="79"/>
    </row>
    <row r="864" spans="8:10" hidden="1" x14ac:dyDescent="0.2">
      <c r="H864" s="79"/>
      <c r="I864" s="79"/>
      <c r="J864" s="79"/>
    </row>
    <row r="865" spans="8:10" ht="8.25" hidden="1" customHeight="1" x14ac:dyDescent="0.2">
      <c r="H865" s="79"/>
      <c r="I865" s="79"/>
      <c r="J865" s="79"/>
    </row>
    <row r="866" spans="8:10" hidden="1" x14ac:dyDescent="0.2">
      <c r="H866" s="79"/>
      <c r="I866" s="79"/>
      <c r="J866" s="79"/>
    </row>
    <row r="867" spans="8:10" hidden="1" x14ac:dyDescent="0.2">
      <c r="H867" s="79"/>
      <c r="I867" s="79"/>
      <c r="J867" s="79"/>
    </row>
    <row r="868" spans="8:10" hidden="1" x14ac:dyDescent="0.2">
      <c r="H868" s="79"/>
      <c r="I868" s="79"/>
      <c r="J868" s="79"/>
    </row>
    <row r="869" spans="8:10" hidden="1" x14ac:dyDescent="0.2">
      <c r="H869" s="79"/>
      <c r="I869" s="79"/>
      <c r="J869" s="79"/>
    </row>
    <row r="870" spans="8:10" hidden="1" x14ac:dyDescent="0.2">
      <c r="H870" s="79"/>
      <c r="I870" s="79"/>
      <c r="J870" s="79"/>
    </row>
    <row r="871" spans="8:10" hidden="1" x14ac:dyDescent="0.2">
      <c r="H871" s="79"/>
      <c r="I871" s="79"/>
      <c r="J871" s="79"/>
    </row>
    <row r="872" spans="8:10" hidden="1" x14ac:dyDescent="0.2">
      <c r="H872" s="79"/>
      <c r="I872" s="79"/>
      <c r="J872" s="79"/>
    </row>
    <row r="873" spans="8:10" hidden="1" x14ac:dyDescent="0.2">
      <c r="H873" s="79"/>
      <c r="I873" s="79"/>
      <c r="J873" s="79"/>
    </row>
    <row r="874" spans="8:10" hidden="1" x14ac:dyDescent="0.2">
      <c r="H874" s="79"/>
      <c r="I874" s="79"/>
      <c r="J874" s="79"/>
    </row>
    <row r="875" spans="8:10" hidden="1" x14ac:dyDescent="0.2">
      <c r="H875" s="79"/>
      <c r="I875" s="79"/>
      <c r="J875" s="79"/>
    </row>
    <row r="876" spans="8:10" hidden="1" x14ac:dyDescent="0.2">
      <c r="H876" s="79"/>
      <c r="I876" s="79"/>
      <c r="J876" s="79"/>
    </row>
    <row r="877" spans="8:10" hidden="1" x14ac:dyDescent="0.2">
      <c r="H877" s="79"/>
      <c r="I877" s="79"/>
      <c r="J877" s="79"/>
    </row>
    <row r="878" spans="8:10" hidden="1" x14ac:dyDescent="0.2">
      <c r="H878" s="79"/>
      <c r="I878" s="79"/>
      <c r="J878" s="79"/>
    </row>
    <row r="879" spans="8:10" hidden="1" x14ac:dyDescent="0.2">
      <c r="H879" s="79"/>
      <c r="I879" s="79"/>
      <c r="J879" s="79"/>
    </row>
    <row r="880" spans="8:10" hidden="1" x14ac:dyDescent="0.2">
      <c r="H880" s="79"/>
      <c r="I880" s="79"/>
      <c r="J880" s="79"/>
    </row>
    <row r="881" spans="8:10" hidden="1" x14ac:dyDescent="0.2">
      <c r="H881" s="79"/>
      <c r="I881" s="79"/>
      <c r="J881" s="79"/>
    </row>
    <row r="882" spans="8:10" hidden="1" x14ac:dyDescent="0.2">
      <c r="H882" s="79"/>
      <c r="I882" s="79"/>
      <c r="J882" s="79"/>
    </row>
    <row r="883" spans="8:10" hidden="1" x14ac:dyDescent="0.2">
      <c r="H883" s="79"/>
      <c r="I883" s="79"/>
      <c r="J883" s="79"/>
    </row>
    <row r="884" spans="8:10" ht="12" hidden="1" customHeight="1" x14ac:dyDescent="0.2">
      <c r="H884" s="79"/>
      <c r="I884" s="79"/>
      <c r="J884" s="79"/>
    </row>
    <row r="885" spans="8:10" hidden="1" x14ac:dyDescent="0.2">
      <c r="H885" s="79"/>
      <c r="I885" s="79"/>
      <c r="J885" s="79"/>
    </row>
    <row r="886" spans="8:10" hidden="1" x14ac:dyDescent="0.2">
      <c r="H886" s="79"/>
      <c r="I886" s="79"/>
      <c r="J886" s="79"/>
    </row>
    <row r="887" spans="8:10" hidden="1" x14ac:dyDescent="0.2">
      <c r="H887" s="79"/>
      <c r="I887" s="79"/>
      <c r="J887" s="79"/>
    </row>
    <row r="888" spans="8:10" hidden="1" x14ac:dyDescent="0.2">
      <c r="H888" s="79"/>
      <c r="I888" s="79"/>
      <c r="J888" s="79"/>
    </row>
    <row r="889" spans="8:10" hidden="1" x14ac:dyDescent="0.2">
      <c r="H889" s="79"/>
      <c r="I889" s="79"/>
      <c r="J889" s="79"/>
    </row>
    <row r="890" spans="8:10" hidden="1" x14ac:dyDescent="0.2">
      <c r="H890" s="79"/>
      <c r="I890" s="79"/>
      <c r="J890" s="79"/>
    </row>
    <row r="891" spans="8:10" hidden="1" x14ac:dyDescent="0.2">
      <c r="H891" s="79"/>
      <c r="I891" s="79"/>
      <c r="J891" s="79"/>
    </row>
    <row r="892" spans="8:10" hidden="1" x14ac:dyDescent="0.2">
      <c r="H892" s="79"/>
      <c r="I892" s="79"/>
      <c r="J892" s="79"/>
    </row>
    <row r="893" spans="8:10" hidden="1" x14ac:dyDescent="0.2">
      <c r="H893" s="79"/>
      <c r="I893" s="79"/>
      <c r="J893" s="79"/>
    </row>
    <row r="894" spans="8:10" hidden="1" x14ac:dyDescent="0.2">
      <c r="H894" s="79"/>
      <c r="I894" s="79"/>
      <c r="J894" s="79"/>
    </row>
    <row r="895" spans="8:10" hidden="1" x14ac:dyDescent="0.2">
      <c r="H895" s="79"/>
      <c r="I895" s="79"/>
      <c r="J895" s="79"/>
    </row>
    <row r="896" spans="8:10" hidden="1" x14ac:dyDescent="0.2">
      <c r="H896" s="79"/>
      <c r="I896" s="79"/>
      <c r="J896" s="79"/>
    </row>
    <row r="897" spans="8:10" hidden="1" x14ac:dyDescent="0.2">
      <c r="H897" s="79"/>
      <c r="I897" s="79"/>
      <c r="J897" s="79"/>
    </row>
    <row r="898" spans="8:10" hidden="1" x14ac:dyDescent="0.2">
      <c r="H898" s="79"/>
      <c r="I898" s="79"/>
      <c r="J898" s="79"/>
    </row>
    <row r="899" spans="8:10" hidden="1" x14ac:dyDescent="0.2">
      <c r="H899" s="79"/>
      <c r="I899" s="79"/>
      <c r="J899" s="79"/>
    </row>
    <row r="900" spans="8:10" hidden="1" x14ac:dyDescent="0.2">
      <c r="H900" s="79"/>
      <c r="I900" s="79"/>
      <c r="J900" s="79"/>
    </row>
    <row r="901" spans="8:10" hidden="1" x14ac:dyDescent="0.2">
      <c r="H901" s="79"/>
      <c r="I901" s="79"/>
      <c r="J901" s="79"/>
    </row>
    <row r="902" spans="8:10" hidden="1" x14ac:dyDescent="0.2">
      <c r="H902" s="79"/>
      <c r="I902" s="79"/>
      <c r="J902" s="79"/>
    </row>
    <row r="903" spans="8:10" hidden="1" x14ac:dyDescent="0.2">
      <c r="H903" s="79"/>
      <c r="I903" s="79"/>
      <c r="J903" s="79"/>
    </row>
    <row r="904" spans="8:10" ht="5.25" hidden="1" customHeight="1" x14ac:dyDescent="0.2">
      <c r="H904" s="79"/>
      <c r="I904" s="79"/>
      <c r="J904" s="79"/>
    </row>
    <row r="905" spans="8:10" hidden="1" x14ac:dyDescent="0.2">
      <c r="H905" s="79"/>
      <c r="I905" s="79"/>
      <c r="J905" s="79"/>
    </row>
    <row r="906" spans="8:10" hidden="1" x14ac:dyDescent="0.2">
      <c r="H906" s="79"/>
      <c r="I906" s="79"/>
      <c r="J906" s="79"/>
    </row>
    <row r="907" spans="8:10" hidden="1" x14ac:dyDescent="0.2">
      <c r="H907" s="79"/>
      <c r="I907" s="79"/>
      <c r="J907" s="79"/>
    </row>
    <row r="908" spans="8:10" hidden="1" x14ac:dyDescent="0.2">
      <c r="H908" s="79"/>
      <c r="I908" s="79"/>
      <c r="J908" s="79"/>
    </row>
    <row r="909" spans="8:10" hidden="1" x14ac:dyDescent="0.2">
      <c r="H909" s="79"/>
      <c r="I909" s="79"/>
      <c r="J909" s="79"/>
    </row>
    <row r="910" spans="8:10" hidden="1" x14ac:dyDescent="0.2">
      <c r="H910" s="79"/>
      <c r="I910" s="79"/>
      <c r="J910" s="79"/>
    </row>
    <row r="911" spans="8:10" ht="0.75" hidden="1" customHeight="1" x14ac:dyDescent="0.2">
      <c r="H911" s="79"/>
      <c r="I911" s="79"/>
      <c r="J911" s="79"/>
    </row>
    <row r="912" spans="8:10" hidden="1" x14ac:dyDescent="0.2">
      <c r="H912" s="79"/>
      <c r="I912" s="79"/>
      <c r="J912" s="79"/>
    </row>
    <row r="913" spans="8:10" hidden="1" x14ac:dyDescent="0.2">
      <c r="H913" s="79"/>
      <c r="I913" s="79"/>
      <c r="J913" s="79"/>
    </row>
    <row r="914" spans="8:10" hidden="1" x14ac:dyDescent="0.2">
      <c r="H914" s="79"/>
      <c r="I914" s="79"/>
      <c r="J914" s="79"/>
    </row>
    <row r="915" spans="8:10" hidden="1" x14ac:dyDescent="0.2">
      <c r="H915" s="79"/>
      <c r="I915" s="79"/>
      <c r="J915" s="79"/>
    </row>
    <row r="916" spans="8:10" hidden="1" x14ac:dyDescent="0.2">
      <c r="H916" s="79"/>
      <c r="I916" s="79"/>
      <c r="J916" s="79"/>
    </row>
    <row r="917" spans="8:10" hidden="1" x14ac:dyDescent="0.2">
      <c r="H917" s="79"/>
      <c r="I917" s="79"/>
      <c r="J917" s="79"/>
    </row>
    <row r="918" spans="8:10" hidden="1" x14ac:dyDescent="0.2">
      <c r="H918" s="79"/>
      <c r="I918" s="79"/>
      <c r="J918" s="79"/>
    </row>
    <row r="919" spans="8:10" hidden="1" x14ac:dyDescent="0.2">
      <c r="H919" s="79"/>
      <c r="I919" s="79"/>
      <c r="J919" s="79"/>
    </row>
    <row r="920" spans="8:10" hidden="1" x14ac:dyDescent="0.2">
      <c r="H920" s="79"/>
      <c r="I920" s="79"/>
      <c r="J920" s="79"/>
    </row>
    <row r="921" spans="8:10" hidden="1" x14ac:dyDescent="0.2">
      <c r="H921" s="79"/>
      <c r="I921" s="79"/>
      <c r="J921" s="79"/>
    </row>
    <row r="922" spans="8:10" hidden="1" x14ac:dyDescent="0.2">
      <c r="H922" s="79"/>
      <c r="I922" s="79"/>
      <c r="J922" s="79"/>
    </row>
    <row r="923" spans="8:10" hidden="1" x14ac:dyDescent="0.2">
      <c r="H923" s="79"/>
      <c r="I923" s="79"/>
      <c r="J923" s="79"/>
    </row>
    <row r="924" spans="8:10" hidden="1" x14ac:dyDescent="0.2">
      <c r="H924" s="79"/>
      <c r="I924" s="79"/>
      <c r="J924" s="79"/>
    </row>
    <row r="925" spans="8:10" ht="6.75" hidden="1" customHeight="1" x14ac:dyDescent="0.2">
      <c r="H925" s="79"/>
      <c r="I925" s="79"/>
      <c r="J925" s="79"/>
    </row>
    <row r="926" spans="8:10" hidden="1" x14ac:dyDescent="0.2">
      <c r="H926" s="79"/>
      <c r="I926" s="79"/>
      <c r="J926" s="79"/>
    </row>
    <row r="927" spans="8:10" hidden="1" x14ac:dyDescent="0.2">
      <c r="H927" s="79"/>
      <c r="I927" s="79"/>
      <c r="J927" s="79"/>
    </row>
    <row r="928" spans="8:10" hidden="1" x14ac:dyDescent="0.2">
      <c r="H928" s="79"/>
      <c r="I928" s="79"/>
      <c r="J928" s="79"/>
    </row>
    <row r="929" spans="8:10" hidden="1" x14ac:dyDescent="0.2">
      <c r="H929" s="79"/>
      <c r="I929" s="79"/>
      <c r="J929" s="79"/>
    </row>
    <row r="930" spans="8:10" hidden="1" x14ac:dyDescent="0.2">
      <c r="H930" s="79"/>
      <c r="I930" s="79"/>
      <c r="J930" s="79"/>
    </row>
    <row r="931" spans="8:10" hidden="1" x14ac:dyDescent="0.2">
      <c r="H931" s="79"/>
      <c r="I931" s="79"/>
      <c r="J931" s="79"/>
    </row>
    <row r="932" spans="8:10" hidden="1" x14ac:dyDescent="0.2">
      <c r="H932" s="79"/>
      <c r="I932" s="79"/>
      <c r="J932" s="79"/>
    </row>
    <row r="933" spans="8:10" hidden="1" x14ac:dyDescent="0.2">
      <c r="H933" s="79"/>
      <c r="I933" s="79"/>
      <c r="J933" s="79"/>
    </row>
    <row r="934" spans="8:10" hidden="1" x14ac:dyDescent="0.2">
      <c r="H934" s="79"/>
      <c r="I934" s="79"/>
      <c r="J934" s="79"/>
    </row>
    <row r="935" spans="8:10" hidden="1" x14ac:dyDescent="0.2">
      <c r="H935" s="79"/>
      <c r="I935" s="79"/>
      <c r="J935" s="79"/>
    </row>
    <row r="936" spans="8:10" hidden="1" x14ac:dyDescent="0.2">
      <c r="H936" s="79"/>
      <c r="I936" s="79"/>
      <c r="J936" s="79"/>
    </row>
    <row r="937" spans="8:10" hidden="1" x14ac:dyDescent="0.2">
      <c r="H937" s="79"/>
      <c r="I937" s="79"/>
      <c r="J937" s="79"/>
    </row>
    <row r="938" spans="8:10" hidden="1" x14ac:dyDescent="0.2">
      <c r="H938" s="79"/>
      <c r="I938" s="79"/>
      <c r="J938" s="79"/>
    </row>
    <row r="939" spans="8:10" hidden="1" x14ac:dyDescent="0.2">
      <c r="H939" s="79"/>
      <c r="I939" s="79"/>
      <c r="J939" s="79"/>
    </row>
    <row r="940" spans="8:10" hidden="1" x14ac:dyDescent="0.2">
      <c r="H940" s="79"/>
      <c r="I940" s="79"/>
      <c r="J940" s="79"/>
    </row>
    <row r="941" spans="8:10" hidden="1" x14ac:dyDescent="0.2">
      <c r="H941" s="79"/>
      <c r="I941" s="79"/>
      <c r="J941" s="79"/>
    </row>
    <row r="942" spans="8:10" hidden="1" x14ac:dyDescent="0.2">
      <c r="H942" s="79"/>
      <c r="I942" s="79"/>
      <c r="J942" s="79"/>
    </row>
    <row r="943" spans="8:10" hidden="1" x14ac:dyDescent="0.2">
      <c r="H943" s="79"/>
      <c r="I943" s="79"/>
      <c r="J943" s="79"/>
    </row>
    <row r="944" spans="8:10" hidden="1" x14ac:dyDescent="0.2">
      <c r="H944" s="79"/>
      <c r="I944" s="79"/>
      <c r="J944" s="79"/>
    </row>
    <row r="945" spans="8:10" hidden="1" x14ac:dyDescent="0.2">
      <c r="H945" s="79"/>
      <c r="I945" s="79"/>
      <c r="J945" s="79"/>
    </row>
    <row r="946" spans="8:10" hidden="1" x14ac:dyDescent="0.2">
      <c r="H946" s="79"/>
      <c r="I946" s="79"/>
      <c r="J946" s="79"/>
    </row>
    <row r="947" spans="8:10" hidden="1" x14ac:dyDescent="0.2">
      <c r="H947" s="79"/>
      <c r="I947" s="79"/>
      <c r="J947" s="79"/>
    </row>
    <row r="948" spans="8:10" hidden="1" x14ac:dyDescent="0.2">
      <c r="H948" s="79"/>
      <c r="I948" s="79"/>
      <c r="J948" s="79"/>
    </row>
    <row r="949" spans="8:10" hidden="1" x14ac:dyDescent="0.2">
      <c r="H949" s="79"/>
      <c r="I949" s="79"/>
      <c r="J949" s="79"/>
    </row>
    <row r="950" spans="8:10" hidden="1" x14ac:dyDescent="0.2">
      <c r="H950" s="79"/>
      <c r="I950" s="79"/>
      <c r="J950" s="79"/>
    </row>
    <row r="951" spans="8:10" hidden="1" x14ac:dyDescent="0.2">
      <c r="H951" s="79"/>
      <c r="I951" s="79"/>
      <c r="J951" s="79"/>
    </row>
    <row r="952" spans="8:10" hidden="1" x14ac:dyDescent="0.2">
      <c r="H952" s="79"/>
      <c r="I952" s="79"/>
      <c r="J952" s="79"/>
    </row>
    <row r="953" spans="8:10" hidden="1" x14ac:dyDescent="0.2">
      <c r="H953" s="79"/>
      <c r="I953" s="79"/>
      <c r="J953" s="79"/>
    </row>
    <row r="954" spans="8:10" hidden="1" x14ac:dyDescent="0.2">
      <c r="H954" s="79"/>
      <c r="I954" s="79"/>
      <c r="J954" s="79"/>
    </row>
    <row r="955" spans="8:10" hidden="1" x14ac:dyDescent="0.2">
      <c r="H955" s="79"/>
      <c r="I955" s="79"/>
      <c r="J955" s="79"/>
    </row>
    <row r="956" spans="8:10" hidden="1" x14ac:dyDescent="0.2">
      <c r="H956" s="79"/>
      <c r="I956" s="79"/>
      <c r="J956" s="79"/>
    </row>
    <row r="957" spans="8:10" hidden="1" x14ac:dyDescent="0.2">
      <c r="H957" s="79"/>
      <c r="I957" s="79"/>
      <c r="J957" s="79"/>
    </row>
    <row r="958" spans="8:10" hidden="1" x14ac:dyDescent="0.2">
      <c r="H958" s="79"/>
      <c r="I958" s="79"/>
      <c r="J958" s="79"/>
    </row>
    <row r="959" spans="8:10" hidden="1" x14ac:dyDescent="0.2">
      <c r="H959" s="79"/>
      <c r="I959" s="79"/>
      <c r="J959" s="79"/>
    </row>
    <row r="960" spans="8:10" hidden="1" x14ac:dyDescent="0.2">
      <c r="H960" s="79"/>
      <c r="I960" s="79"/>
      <c r="J960" s="79"/>
    </row>
    <row r="961" spans="8:10" hidden="1" x14ac:dyDescent="0.2">
      <c r="H961" s="79"/>
      <c r="I961" s="79"/>
      <c r="J961" s="79"/>
    </row>
    <row r="962" spans="8:10" ht="6" hidden="1" customHeight="1" x14ac:dyDescent="0.2">
      <c r="H962" s="79"/>
      <c r="I962" s="79"/>
      <c r="J962" s="79"/>
    </row>
    <row r="963" spans="8:10" hidden="1" x14ac:dyDescent="0.2">
      <c r="H963" s="79"/>
      <c r="I963" s="79"/>
      <c r="J963" s="79"/>
    </row>
    <row r="964" spans="8:10" hidden="1" x14ac:dyDescent="0.2">
      <c r="H964" s="79"/>
      <c r="I964" s="79"/>
      <c r="J964" s="79"/>
    </row>
    <row r="965" spans="8:10" hidden="1" x14ac:dyDescent="0.2">
      <c r="H965" s="79"/>
      <c r="I965" s="79"/>
      <c r="J965" s="79"/>
    </row>
    <row r="966" spans="8:10" hidden="1" x14ac:dyDescent="0.2">
      <c r="H966" s="79"/>
      <c r="I966" s="79"/>
      <c r="J966" s="79"/>
    </row>
    <row r="967" spans="8:10" hidden="1" x14ac:dyDescent="0.2">
      <c r="H967" s="79"/>
      <c r="I967" s="79"/>
      <c r="J967" s="79"/>
    </row>
    <row r="968" spans="8:10" hidden="1" x14ac:dyDescent="0.2">
      <c r="H968" s="79"/>
      <c r="I968" s="79"/>
      <c r="J968" s="79"/>
    </row>
    <row r="969" spans="8:10" hidden="1" x14ac:dyDescent="0.2">
      <c r="H969" s="79"/>
      <c r="I969" s="79"/>
      <c r="J969" s="79"/>
    </row>
    <row r="970" spans="8:10" hidden="1" x14ac:dyDescent="0.2">
      <c r="H970" s="79"/>
      <c r="I970" s="79"/>
      <c r="J970" s="79"/>
    </row>
    <row r="971" spans="8:10" hidden="1" x14ac:dyDescent="0.2">
      <c r="H971" s="79"/>
      <c r="I971" s="79"/>
      <c r="J971" s="79"/>
    </row>
    <row r="972" spans="8:10" hidden="1" x14ac:dyDescent="0.2">
      <c r="H972" s="79"/>
      <c r="I972" s="79"/>
      <c r="J972" s="79"/>
    </row>
    <row r="973" spans="8:10" hidden="1" x14ac:dyDescent="0.2">
      <c r="H973" s="79"/>
      <c r="I973" s="79"/>
      <c r="J973" s="79"/>
    </row>
    <row r="974" spans="8:10" hidden="1" x14ac:dyDescent="0.2">
      <c r="H974" s="79"/>
      <c r="I974" s="79"/>
      <c r="J974" s="79"/>
    </row>
    <row r="975" spans="8:10" hidden="1" x14ac:dyDescent="0.2">
      <c r="H975" s="79"/>
      <c r="I975" s="79"/>
      <c r="J975" s="79"/>
    </row>
    <row r="976" spans="8:10" hidden="1" x14ac:dyDescent="0.2">
      <c r="H976" s="79"/>
      <c r="I976" s="79"/>
      <c r="J976" s="79"/>
    </row>
    <row r="977" spans="8:10" hidden="1" x14ac:dyDescent="0.2">
      <c r="H977" s="79"/>
      <c r="I977" s="79"/>
      <c r="J977" s="79"/>
    </row>
    <row r="978" spans="8:10" hidden="1" x14ac:dyDescent="0.2">
      <c r="H978" s="79"/>
      <c r="I978" s="79"/>
      <c r="J978" s="79"/>
    </row>
    <row r="979" spans="8:10" hidden="1" x14ac:dyDescent="0.2">
      <c r="H979" s="79"/>
      <c r="I979" s="79"/>
      <c r="J979" s="79"/>
    </row>
    <row r="980" spans="8:10" hidden="1" x14ac:dyDescent="0.2">
      <c r="H980" s="79"/>
      <c r="I980" s="79"/>
      <c r="J980" s="79"/>
    </row>
    <row r="981" spans="8:10" hidden="1" x14ac:dyDescent="0.2">
      <c r="H981" s="79"/>
      <c r="I981" s="79"/>
      <c r="J981" s="79"/>
    </row>
    <row r="982" spans="8:10" hidden="1" x14ac:dyDescent="0.2">
      <c r="H982" s="79"/>
      <c r="I982" s="79"/>
      <c r="J982" s="79"/>
    </row>
    <row r="983" spans="8:10" hidden="1" x14ac:dyDescent="0.2">
      <c r="H983" s="79"/>
      <c r="I983" s="79"/>
      <c r="J983" s="79"/>
    </row>
    <row r="984" spans="8:10" hidden="1" x14ac:dyDescent="0.2">
      <c r="H984" s="79"/>
      <c r="I984" s="79"/>
      <c r="J984" s="79"/>
    </row>
    <row r="985" spans="8:10" ht="9.75" hidden="1" customHeight="1" x14ac:dyDescent="0.2">
      <c r="H985" s="79"/>
      <c r="I985" s="79"/>
      <c r="J985" s="79"/>
    </row>
    <row r="986" spans="8:10" hidden="1" x14ac:dyDescent="0.2">
      <c r="H986" s="79"/>
      <c r="I986" s="79"/>
      <c r="J986" s="79"/>
    </row>
    <row r="987" spans="8:10" hidden="1" x14ac:dyDescent="0.2">
      <c r="H987" s="79"/>
      <c r="I987" s="79"/>
      <c r="J987" s="79"/>
    </row>
    <row r="988" spans="8:10" hidden="1" x14ac:dyDescent="0.2">
      <c r="H988" s="79"/>
      <c r="I988" s="79"/>
      <c r="J988" s="79"/>
    </row>
    <row r="989" spans="8:10" hidden="1" x14ac:dyDescent="0.2">
      <c r="H989" s="79"/>
      <c r="I989" s="79"/>
      <c r="J989" s="79"/>
    </row>
    <row r="990" spans="8:10" hidden="1" x14ac:dyDescent="0.2">
      <c r="H990" s="79"/>
      <c r="I990" s="79"/>
      <c r="J990" s="79"/>
    </row>
    <row r="991" spans="8:10" hidden="1" x14ac:dyDescent="0.2">
      <c r="H991" s="79"/>
      <c r="I991" s="79"/>
      <c r="J991" s="79"/>
    </row>
    <row r="992" spans="8:10" hidden="1" x14ac:dyDescent="0.2">
      <c r="H992" s="79"/>
      <c r="I992" s="79"/>
      <c r="J992" s="79"/>
    </row>
    <row r="993" spans="8:10" hidden="1" x14ac:dyDescent="0.2">
      <c r="H993" s="79"/>
      <c r="I993" s="79"/>
      <c r="J993" s="79"/>
    </row>
    <row r="994" spans="8:10" hidden="1" x14ac:dyDescent="0.2">
      <c r="H994" s="79"/>
      <c r="I994" s="79"/>
      <c r="J994" s="79"/>
    </row>
    <row r="995" spans="8:10" hidden="1" x14ac:dyDescent="0.2">
      <c r="H995" s="79"/>
      <c r="I995" s="79"/>
      <c r="J995" s="79"/>
    </row>
    <row r="996" spans="8:10" hidden="1" x14ac:dyDescent="0.2">
      <c r="H996" s="79"/>
      <c r="I996" s="79"/>
      <c r="J996" s="79"/>
    </row>
    <row r="997" spans="8:10" hidden="1" x14ac:dyDescent="0.2">
      <c r="H997" s="79"/>
      <c r="I997" s="79"/>
      <c r="J997" s="79"/>
    </row>
    <row r="998" spans="8:10" hidden="1" x14ac:dyDescent="0.2">
      <c r="H998" s="79"/>
      <c r="I998" s="79"/>
      <c r="J998" s="79"/>
    </row>
    <row r="999" spans="8:10" hidden="1" x14ac:dyDescent="0.2">
      <c r="H999" s="79"/>
      <c r="I999" s="79"/>
      <c r="J999" s="79"/>
    </row>
    <row r="1000" spans="8:10" hidden="1" x14ac:dyDescent="0.2">
      <c r="H1000" s="79"/>
      <c r="I1000" s="79"/>
      <c r="J1000" s="79"/>
    </row>
    <row r="1001" spans="8:10" hidden="1" x14ac:dyDescent="0.2">
      <c r="H1001" s="79"/>
      <c r="I1001" s="79"/>
      <c r="J1001" s="79"/>
    </row>
    <row r="1002" spans="8:10" hidden="1" x14ac:dyDescent="0.2">
      <c r="H1002" s="79"/>
      <c r="I1002" s="79"/>
      <c r="J1002" s="79"/>
    </row>
    <row r="1003" spans="8:10" hidden="1" x14ac:dyDescent="0.2">
      <c r="H1003" s="79"/>
      <c r="I1003" s="79"/>
      <c r="J1003" s="79"/>
    </row>
    <row r="1004" spans="8:10" hidden="1" x14ac:dyDescent="0.2">
      <c r="H1004" s="79"/>
      <c r="I1004" s="79"/>
      <c r="J1004" s="79"/>
    </row>
    <row r="1005" spans="8:10" hidden="1" x14ac:dyDescent="0.2">
      <c r="H1005" s="79"/>
      <c r="I1005" s="79"/>
      <c r="J1005" s="79"/>
    </row>
    <row r="1006" spans="8:10" hidden="1" x14ac:dyDescent="0.2">
      <c r="H1006" s="79"/>
      <c r="I1006" s="79"/>
      <c r="J1006" s="79"/>
    </row>
    <row r="1007" spans="8:10" hidden="1" x14ac:dyDescent="0.2">
      <c r="H1007" s="79"/>
      <c r="I1007" s="79"/>
      <c r="J1007" s="79"/>
    </row>
    <row r="1008" spans="8:10" hidden="1" x14ac:dyDescent="0.2">
      <c r="H1008" s="79"/>
      <c r="I1008" s="79"/>
      <c r="J1008" s="79"/>
    </row>
    <row r="1009" spans="8:10" ht="4.5" hidden="1" customHeight="1" x14ac:dyDescent="0.2">
      <c r="H1009" s="79"/>
      <c r="I1009" s="79"/>
      <c r="J1009" s="79"/>
    </row>
    <row r="1010" spans="8:10" hidden="1" x14ac:dyDescent="0.2">
      <c r="H1010" s="79"/>
      <c r="I1010" s="79"/>
      <c r="J1010" s="79"/>
    </row>
    <row r="1011" spans="8:10" hidden="1" x14ac:dyDescent="0.2">
      <c r="H1011" s="79"/>
      <c r="I1011" s="79"/>
      <c r="J1011" s="79"/>
    </row>
    <row r="1012" spans="8:10" hidden="1" x14ac:dyDescent="0.2">
      <c r="H1012" s="79"/>
      <c r="I1012" s="79"/>
      <c r="J1012" s="79"/>
    </row>
    <row r="1013" spans="8:10" hidden="1" x14ac:dyDescent="0.2">
      <c r="H1013" s="79"/>
      <c r="I1013" s="79"/>
      <c r="J1013" s="79"/>
    </row>
    <row r="1014" spans="8:10" hidden="1" x14ac:dyDescent="0.2">
      <c r="H1014" s="79"/>
      <c r="I1014" s="79"/>
      <c r="J1014" s="79"/>
    </row>
    <row r="1015" spans="8:10" hidden="1" x14ac:dyDescent="0.2">
      <c r="H1015" s="79"/>
      <c r="I1015" s="79"/>
      <c r="J1015" s="79"/>
    </row>
    <row r="1016" spans="8:10" hidden="1" x14ac:dyDescent="0.2">
      <c r="H1016" s="79"/>
      <c r="I1016" s="79"/>
      <c r="J1016" s="79"/>
    </row>
    <row r="1017" spans="8:10" hidden="1" x14ac:dyDescent="0.2">
      <c r="H1017" s="79"/>
      <c r="I1017" s="79"/>
      <c r="J1017" s="79"/>
    </row>
    <row r="1018" spans="8:10" hidden="1" x14ac:dyDescent="0.2">
      <c r="H1018" s="79"/>
      <c r="I1018" s="79"/>
      <c r="J1018" s="79"/>
    </row>
    <row r="1019" spans="8:10" hidden="1" x14ac:dyDescent="0.2">
      <c r="H1019" s="79"/>
      <c r="I1019" s="79"/>
      <c r="J1019" s="79"/>
    </row>
    <row r="1020" spans="8:10" hidden="1" x14ac:dyDescent="0.2">
      <c r="H1020" s="79"/>
      <c r="I1020" s="79"/>
      <c r="J1020" s="79"/>
    </row>
    <row r="1021" spans="8:10" hidden="1" x14ac:dyDescent="0.2">
      <c r="H1021" s="79"/>
      <c r="I1021" s="79"/>
      <c r="J1021" s="79"/>
    </row>
    <row r="1022" spans="8:10" hidden="1" x14ac:dyDescent="0.2">
      <c r="H1022" s="79"/>
      <c r="I1022" s="79"/>
      <c r="J1022" s="79"/>
    </row>
    <row r="1023" spans="8:10" hidden="1" x14ac:dyDescent="0.2">
      <c r="H1023" s="79"/>
      <c r="I1023" s="79"/>
      <c r="J1023" s="79"/>
    </row>
    <row r="1024" spans="8:10" hidden="1" x14ac:dyDescent="0.2">
      <c r="H1024" s="79"/>
      <c r="I1024" s="79"/>
      <c r="J1024" s="79"/>
    </row>
    <row r="1025" spans="8:10" hidden="1" x14ac:dyDescent="0.2">
      <c r="H1025" s="79"/>
      <c r="I1025" s="79"/>
      <c r="J1025" s="79"/>
    </row>
    <row r="1026" spans="8:10" hidden="1" x14ac:dyDescent="0.2">
      <c r="H1026" s="79"/>
      <c r="I1026" s="79"/>
      <c r="J1026" s="79"/>
    </row>
    <row r="1027" spans="8:10" hidden="1" x14ac:dyDescent="0.2">
      <c r="H1027" s="79"/>
      <c r="I1027" s="79"/>
      <c r="J1027" s="79"/>
    </row>
    <row r="1028" spans="8:10" hidden="1" x14ac:dyDescent="0.2">
      <c r="H1028" s="79"/>
      <c r="I1028" s="79"/>
      <c r="J1028" s="79"/>
    </row>
    <row r="1029" spans="8:10" hidden="1" x14ac:dyDescent="0.2">
      <c r="H1029" s="79"/>
      <c r="I1029" s="79"/>
      <c r="J1029" s="79"/>
    </row>
    <row r="1030" spans="8:10" hidden="1" x14ac:dyDescent="0.2">
      <c r="H1030" s="79"/>
      <c r="I1030" s="79"/>
      <c r="J1030" s="79"/>
    </row>
    <row r="1031" spans="8:10" hidden="1" x14ac:dyDescent="0.2">
      <c r="H1031" s="79"/>
      <c r="I1031" s="79"/>
      <c r="J1031" s="79"/>
    </row>
    <row r="1032" spans="8:10" ht="2.25" hidden="1" customHeight="1" x14ac:dyDescent="0.2">
      <c r="H1032" s="79"/>
      <c r="I1032" s="79"/>
      <c r="J1032" s="79"/>
    </row>
    <row r="1033" spans="8:10" hidden="1" x14ac:dyDescent="0.2">
      <c r="H1033" s="79"/>
      <c r="I1033" s="79"/>
      <c r="J1033" s="79"/>
    </row>
    <row r="1034" spans="8:10" hidden="1" x14ac:dyDescent="0.2">
      <c r="H1034" s="79"/>
      <c r="I1034" s="79"/>
      <c r="J1034" s="79"/>
    </row>
    <row r="1035" spans="8:10" hidden="1" x14ac:dyDescent="0.2">
      <c r="H1035" s="79"/>
      <c r="I1035" s="79"/>
      <c r="J1035" s="79"/>
    </row>
    <row r="1036" spans="8:10" hidden="1" x14ac:dyDescent="0.2">
      <c r="H1036" s="79"/>
      <c r="I1036" s="79"/>
      <c r="J1036" s="79"/>
    </row>
    <row r="1037" spans="8:10" hidden="1" x14ac:dyDescent="0.2">
      <c r="H1037" s="79"/>
      <c r="I1037" s="79"/>
      <c r="J1037" s="79"/>
    </row>
    <row r="1038" spans="8:10" hidden="1" x14ac:dyDescent="0.2">
      <c r="H1038" s="79"/>
      <c r="I1038" s="79"/>
      <c r="J1038" s="79"/>
    </row>
    <row r="1039" spans="8:10" hidden="1" x14ac:dyDescent="0.2">
      <c r="H1039" s="79"/>
      <c r="I1039" s="79"/>
      <c r="J1039" s="79"/>
    </row>
    <row r="1040" spans="8:10" hidden="1" x14ac:dyDescent="0.2">
      <c r="H1040" s="79"/>
      <c r="I1040" s="79"/>
      <c r="J1040" s="79"/>
    </row>
    <row r="1041" spans="8:10" hidden="1" x14ac:dyDescent="0.2">
      <c r="H1041" s="79"/>
      <c r="I1041" s="79"/>
      <c r="J1041" s="79"/>
    </row>
    <row r="1042" spans="8:10" hidden="1" x14ac:dyDescent="0.2">
      <c r="H1042" s="79"/>
      <c r="I1042" s="79"/>
      <c r="J1042" s="79"/>
    </row>
    <row r="1043" spans="8:10" hidden="1" x14ac:dyDescent="0.2">
      <c r="H1043" s="79"/>
      <c r="I1043" s="79"/>
      <c r="J1043" s="79"/>
    </row>
    <row r="1044" spans="8:10" hidden="1" x14ac:dyDescent="0.2">
      <c r="H1044" s="79"/>
      <c r="I1044" s="79"/>
      <c r="J1044" s="79"/>
    </row>
    <row r="1045" spans="8:10" hidden="1" x14ac:dyDescent="0.2">
      <c r="H1045" s="79"/>
      <c r="I1045" s="79"/>
      <c r="J1045" s="79"/>
    </row>
    <row r="1046" spans="8:10" hidden="1" x14ac:dyDescent="0.2">
      <c r="H1046" s="79"/>
      <c r="I1046" s="79"/>
      <c r="J1046" s="79"/>
    </row>
    <row r="1047" spans="8:10" hidden="1" x14ac:dyDescent="0.2">
      <c r="H1047" s="79"/>
      <c r="I1047" s="79"/>
      <c r="J1047" s="79"/>
    </row>
    <row r="1048" spans="8:10" hidden="1" x14ac:dyDescent="0.2">
      <c r="H1048" s="79"/>
      <c r="I1048" s="79"/>
      <c r="J1048" s="79"/>
    </row>
    <row r="1049" spans="8:10" hidden="1" x14ac:dyDescent="0.2">
      <c r="H1049" s="79"/>
      <c r="I1049" s="79"/>
      <c r="J1049" s="79"/>
    </row>
    <row r="1050" spans="8:10" hidden="1" x14ac:dyDescent="0.2">
      <c r="H1050" s="79"/>
      <c r="I1050" s="79"/>
      <c r="J1050" s="79"/>
    </row>
    <row r="1051" spans="8:10" hidden="1" x14ac:dyDescent="0.2">
      <c r="H1051" s="79"/>
      <c r="I1051" s="79"/>
      <c r="J1051" s="79"/>
    </row>
    <row r="1052" spans="8:10" hidden="1" x14ac:dyDescent="0.2">
      <c r="H1052" s="79"/>
      <c r="I1052" s="79"/>
      <c r="J1052" s="79"/>
    </row>
    <row r="1053" spans="8:10" hidden="1" x14ac:dyDescent="0.2">
      <c r="H1053" s="79"/>
      <c r="I1053" s="79"/>
      <c r="J1053" s="79"/>
    </row>
    <row r="1054" spans="8:10" ht="8.25" hidden="1" customHeight="1" x14ac:dyDescent="0.2">
      <c r="H1054" s="79"/>
      <c r="I1054" s="79"/>
      <c r="J1054" s="79"/>
    </row>
    <row r="1055" spans="8:10" hidden="1" x14ac:dyDescent="0.2">
      <c r="H1055" s="79"/>
      <c r="I1055" s="79"/>
      <c r="J1055" s="79"/>
    </row>
    <row r="1056" spans="8:10" hidden="1" x14ac:dyDescent="0.2">
      <c r="H1056" s="79"/>
      <c r="I1056" s="79"/>
      <c r="J1056" s="79"/>
    </row>
    <row r="1057" spans="8:10" hidden="1" x14ac:dyDescent="0.2">
      <c r="H1057" s="79"/>
      <c r="I1057" s="79"/>
      <c r="J1057" s="79"/>
    </row>
    <row r="1058" spans="8:10" hidden="1" x14ac:dyDescent="0.2">
      <c r="H1058" s="79"/>
      <c r="I1058" s="79"/>
      <c r="J1058" s="79"/>
    </row>
    <row r="1059" spans="8:10" hidden="1" x14ac:dyDescent="0.2">
      <c r="H1059" s="79"/>
      <c r="I1059" s="79"/>
      <c r="J1059" s="79"/>
    </row>
    <row r="1060" spans="8:10" hidden="1" x14ac:dyDescent="0.2">
      <c r="H1060" s="79"/>
      <c r="I1060" s="79"/>
      <c r="J1060" s="79"/>
    </row>
    <row r="1061" spans="8:10" hidden="1" x14ac:dyDescent="0.2">
      <c r="H1061" s="79"/>
      <c r="I1061" s="79"/>
      <c r="J1061" s="79"/>
    </row>
    <row r="1062" spans="8:10" hidden="1" x14ac:dyDescent="0.2">
      <c r="H1062" s="79"/>
      <c r="I1062" s="79"/>
      <c r="J1062" s="79"/>
    </row>
    <row r="1063" spans="8:10" hidden="1" x14ac:dyDescent="0.2">
      <c r="H1063" s="79"/>
      <c r="I1063" s="79"/>
      <c r="J1063" s="79"/>
    </row>
    <row r="1064" spans="8:10" hidden="1" x14ac:dyDescent="0.2">
      <c r="H1064" s="79"/>
      <c r="I1064" s="79"/>
      <c r="J1064" s="79"/>
    </row>
    <row r="1065" spans="8:10" hidden="1" x14ac:dyDescent="0.2">
      <c r="H1065" s="79"/>
      <c r="I1065" s="79"/>
      <c r="J1065" s="79"/>
    </row>
    <row r="1066" spans="8:10" hidden="1" x14ac:dyDescent="0.2">
      <c r="H1066" s="79"/>
      <c r="I1066" s="79"/>
      <c r="J1066" s="79"/>
    </row>
    <row r="1067" spans="8:10" hidden="1" x14ac:dyDescent="0.2">
      <c r="H1067" s="79"/>
      <c r="I1067" s="79"/>
      <c r="J1067" s="79"/>
    </row>
    <row r="1068" spans="8:10" hidden="1" x14ac:dyDescent="0.2">
      <c r="H1068" s="79"/>
      <c r="I1068" s="79"/>
      <c r="J1068" s="79"/>
    </row>
    <row r="1069" spans="8:10" hidden="1" x14ac:dyDescent="0.2">
      <c r="H1069" s="79"/>
      <c r="I1069" s="79"/>
      <c r="J1069" s="79"/>
    </row>
    <row r="1070" spans="8:10" hidden="1" x14ac:dyDescent="0.2">
      <c r="H1070" s="79"/>
      <c r="I1070" s="79"/>
      <c r="J1070" s="79"/>
    </row>
    <row r="1071" spans="8:10" hidden="1" x14ac:dyDescent="0.2">
      <c r="H1071" s="79"/>
      <c r="I1071" s="79"/>
      <c r="J1071" s="79"/>
    </row>
    <row r="1072" spans="8:10" hidden="1" x14ac:dyDescent="0.2">
      <c r="H1072" s="79"/>
      <c r="I1072" s="79"/>
      <c r="J1072" s="79"/>
    </row>
    <row r="1073" spans="8:10" hidden="1" x14ac:dyDescent="0.2">
      <c r="H1073" s="79"/>
      <c r="I1073" s="79"/>
      <c r="J1073" s="79"/>
    </row>
    <row r="1074" spans="8:10" hidden="1" x14ac:dyDescent="0.2">
      <c r="H1074" s="79"/>
      <c r="I1074" s="79"/>
      <c r="J1074" s="79"/>
    </row>
    <row r="1075" spans="8:10" hidden="1" x14ac:dyDescent="0.2">
      <c r="H1075" s="79"/>
      <c r="I1075" s="79"/>
      <c r="J1075" s="79"/>
    </row>
    <row r="1076" spans="8:10" ht="1.5" hidden="1" customHeight="1" x14ac:dyDescent="0.2">
      <c r="H1076" s="79"/>
      <c r="I1076" s="79"/>
      <c r="J1076" s="79"/>
    </row>
    <row r="1077" spans="8:10" hidden="1" x14ac:dyDescent="0.2">
      <c r="H1077" s="79"/>
      <c r="I1077" s="79"/>
      <c r="J1077" s="79"/>
    </row>
    <row r="1078" spans="8:10" hidden="1" x14ac:dyDescent="0.2">
      <c r="H1078" s="79"/>
      <c r="I1078" s="79"/>
      <c r="J1078" s="79"/>
    </row>
    <row r="1079" spans="8:10" hidden="1" x14ac:dyDescent="0.2">
      <c r="H1079" s="79"/>
      <c r="I1079" s="79"/>
      <c r="J1079" s="79"/>
    </row>
    <row r="1080" spans="8:10" hidden="1" x14ac:dyDescent="0.2">
      <c r="H1080" s="79"/>
      <c r="I1080" s="79"/>
      <c r="J1080" s="79"/>
    </row>
    <row r="1081" spans="8:10" hidden="1" x14ac:dyDescent="0.2">
      <c r="H1081" s="79"/>
      <c r="I1081" s="79"/>
      <c r="J1081" s="79"/>
    </row>
    <row r="1082" spans="8:10" hidden="1" x14ac:dyDescent="0.2">
      <c r="H1082" s="79"/>
      <c r="I1082" s="79"/>
      <c r="J1082" s="79"/>
    </row>
    <row r="1083" spans="8:10" hidden="1" x14ac:dyDescent="0.2">
      <c r="H1083" s="79"/>
      <c r="I1083" s="79"/>
      <c r="J1083" s="79"/>
    </row>
    <row r="1084" spans="8:10" hidden="1" x14ac:dyDescent="0.2">
      <c r="H1084" s="79"/>
      <c r="I1084" s="79"/>
      <c r="J1084" s="79"/>
    </row>
    <row r="1085" spans="8:10" hidden="1" x14ac:dyDescent="0.2">
      <c r="H1085" s="79"/>
      <c r="I1085" s="79"/>
      <c r="J1085" s="79"/>
    </row>
    <row r="1086" spans="8:10" hidden="1" x14ac:dyDescent="0.2">
      <c r="H1086" s="79"/>
      <c r="I1086" s="79"/>
      <c r="J1086" s="79"/>
    </row>
    <row r="1087" spans="8:10" hidden="1" x14ac:dyDescent="0.2">
      <c r="H1087" s="79"/>
      <c r="I1087" s="79"/>
      <c r="J1087" s="79"/>
    </row>
    <row r="1088" spans="8:10" hidden="1" x14ac:dyDescent="0.2">
      <c r="H1088" s="79"/>
      <c r="I1088" s="79"/>
      <c r="J1088" s="79"/>
    </row>
    <row r="1089" spans="8:10" hidden="1" x14ac:dyDescent="0.2">
      <c r="H1089" s="79"/>
      <c r="I1089" s="79"/>
      <c r="J1089" s="79"/>
    </row>
    <row r="1090" spans="8:10" hidden="1" x14ac:dyDescent="0.2">
      <c r="H1090" s="79"/>
      <c r="I1090" s="79"/>
      <c r="J1090" s="79"/>
    </row>
    <row r="1091" spans="8:10" hidden="1" x14ac:dyDescent="0.2">
      <c r="H1091" s="79"/>
      <c r="I1091" s="79"/>
      <c r="J1091" s="79"/>
    </row>
    <row r="1092" spans="8:10" hidden="1" x14ac:dyDescent="0.2">
      <c r="H1092" s="79"/>
      <c r="I1092" s="79"/>
      <c r="J1092" s="79"/>
    </row>
    <row r="1093" spans="8:10" hidden="1" x14ac:dyDescent="0.2">
      <c r="H1093" s="79"/>
      <c r="I1093" s="79"/>
      <c r="J1093" s="79"/>
    </row>
    <row r="1094" spans="8:10" hidden="1" x14ac:dyDescent="0.2">
      <c r="H1094" s="79"/>
      <c r="I1094" s="79"/>
      <c r="J1094" s="79"/>
    </row>
    <row r="1095" spans="8:10" hidden="1" x14ac:dyDescent="0.2">
      <c r="H1095" s="79"/>
      <c r="I1095" s="79"/>
      <c r="J1095" s="79"/>
    </row>
    <row r="1096" spans="8:10" hidden="1" x14ac:dyDescent="0.2">
      <c r="H1096" s="79"/>
      <c r="I1096" s="79"/>
      <c r="J1096" s="79"/>
    </row>
    <row r="1097" spans="8:10" hidden="1" x14ac:dyDescent="0.2">
      <c r="H1097" s="79"/>
      <c r="I1097" s="79"/>
      <c r="J1097" s="79"/>
    </row>
    <row r="1098" spans="8:10" hidden="1" x14ac:dyDescent="0.2">
      <c r="H1098" s="79"/>
      <c r="I1098" s="79"/>
      <c r="J1098" s="79"/>
    </row>
    <row r="1099" spans="8:10" hidden="1" x14ac:dyDescent="0.2">
      <c r="H1099" s="79"/>
      <c r="I1099" s="79"/>
      <c r="J1099" s="79"/>
    </row>
    <row r="1100" spans="8:10" hidden="1" x14ac:dyDescent="0.2">
      <c r="H1100" s="79"/>
      <c r="I1100" s="79"/>
      <c r="J1100" s="79"/>
    </row>
    <row r="1101" spans="8:10" ht="3.75" hidden="1" customHeight="1" x14ac:dyDescent="0.2">
      <c r="H1101" s="79"/>
      <c r="I1101" s="79"/>
      <c r="J1101" s="79"/>
    </row>
    <row r="1102" spans="8:10" hidden="1" x14ac:dyDescent="0.2">
      <c r="H1102" s="79"/>
      <c r="I1102" s="79"/>
      <c r="J1102" s="79"/>
    </row>
    <row r="1103" spans="8:10" hidden="1" x14ac:dyDescent="0.2">
      <c r="H1103" s="79"/>
      <c r="I1103" s="79"/>
      <c r="J1103" s="79"/>
    </row>
    <row r="1104" spans="8:10" hidden="1" x14ac:dyDescent="0.2">
      <c r="H1104" s="79"/>
      <c r="I1104" s="79"/>
      <c r="J1104" s="79"/>
    </row>
    <row r="1105" spans="8:10" hidden="1" x14ac:dyDescent="0.2">
      <c r="H1105" s="79"/>
      <c r="I1105" s="79"/>
      <c r="J1105" s="79"/>
    </row>
    <row r="1106" spans="8:10" hidden="1" x14ac:dyDescent="0.2">
      <c r="H1106" s="79"/>
      <c r="I1106" s="79"/>
      <c r="J1106" s="79"/>
    </row>
    <row r="1107" spans="8:10" hidden="1" x14ac:dyDescent="0.2">
      <c r="H1107" s="79"/>
      <c r="I1107" s="79"/>
      <c r="J1107" s="79"/>
    </row>
    <row r="1108" spans="8:10" hidden="1" x14ac:dyDescent="0.2">
      <c r="H1108" s="79"/>
      <c r="I1108" s="79"/>
      <c r="J1108" s="79"/>
    </row>
    <row r="1109" spans="8:10" hidden="1" x14ac:dyDescent="0.2">
      <c r="H1109" s="79"/>
      <c r="I1109" s="79"/>
      <c r="J1109" s="79"/>
    </row>
    <row r="1110" spans="8:10" hidden="1" x14ac:dyDescent="0.2">
      <c r="H1110" s="79"/>
      <c r="I1110" s="79"/>
      <c r="J1110" s="79"/>
    </row>
    <row r="1111" spans="8:10" hidden="1" x14ac:dyDescent="0.2">
      <c r="H1111" s="79"/>
      <c r="I1111" s="79"/>
      <c r="J1111" s="79"/>
    </row>
    <row r="1112" spans="8:10" hidden="1" x14ac:dyDescent="0.2">
      <c r="H1112" s="79"/>
      <c r="I1112" s="79"/>
      <c r="J1112" s="79"/>
    </row>
    <row r="1113" spans="8:10" hidden="1" x14ac:dyDescent="0.2">
      <c r="H1113" s="79"/>
      <c r="I1113" s="79"/>
      <c r="J1113" s="79"/>
    </row>
    <row r="1114" spans="8:10" hidden="1" x14ac:dyDescent="0.2">
      <c r="H1114" s="79"/>
      <c r="I1114" s="79"/>
      <c r="J1114" s="79"/>
    </row>
    <row r="1115" spans="8:10" hidden="1" x14ac:dyDescent="0.2">
      <c r="H1115" s="79"/>
      <c r="I1115" s="79"/>
      <c r="J1115" s="79"/>
    </row>
    <row r="1116" spans="8:10" hidden="1" x14ac:dyDescent="0.2">
      <c r="H1116" s="79"/>
      <c r="I1116" s="79"/>
      <c r="J1116" s="79"/>
    </row>
    <row r="1117" spans="8:10" hidden="1" x14ac:dyDescent="0.2">
      <c r="H1117" s="79"/>
      <c r="I1117" s="79"/>
      <c r="J1117" s="79"/>
    </row>
    <row r="1118" spans="8:10" hidden="1" x14ac:dyDescent="0.2">
      <c r="H1118" s="79"/>
      <c r="I1118" s="79"/>
      <c r="J1118" s="79"/>
    </row>
    <row r="1119" spans="8:10" hidden="1" x14ac:dyDescent="0.2">
      <c r="H1119" s="79"/>
      <c r="I1119" s="79"/>
      <c r="J1119" s="79"/>
    </row>
    <row r="1120" spans="8:10" hidden="1" x14ac:dyDescent="0.2">
      <c r="H1120" s="79"/>
      <c r="I1120" s="79"/>
      <c r="J1120" s="79"/>
    </row>
    <row r="1121" spans="8:10" hidden="1" x14ac:dyDescent="0.2">
      <c r="H1121" s="79"/>
      <c r="I1121" s="79"/>
      <c r="J1121" s="79"/>
    </row>
    <row r="1122" spans="8:10" hidden="1" x14ac:dyDescent="0.2">
      <c r="H1122" s="79"/>
      <c r="I1122" s="79"/>
      <c r="J1122" s="79"/>
    </row>
    <row r="1123" spans="8:10" hidden="1" x14ac:dyDescent="0.2">
      <c r="H1123" s="79"/>
      <c r="I1123" s="79"/>
      <c r="J1123" s="79"/>
    </row>
    <row r="1124" spans="8:10" hidden="1" x14ac:dyDescent="0.2">
      <c r="H1124" s="79"/>
      <c r="I1124" s="79"/>
      <c r="J1124" s="79"/>
    </row>
    <row r="1125" spans="8:10" hidden="1" x14ac:dyDescent="0.2">
      <c r="H1125" s="79"/>
      <c r="I1125" s="79"/>
      <c r="J1125" s="79"/>
    </row>
    <row r="1126" spans="8:10" hidden="1" x14ac:dyDescent="0.2">
      <c r="H1126" s="79"/>
      <c r="I1126" s="79"/>
      <c r="J1126" s="79"/>
    </row>
    <row r="1127" spans="8:10" hidden="1" x14ac:dyDescent="0.2">
      <c r="H1127" s="79"/>
      <c r="I1127" s="79"/>
      <c r="J1127" s="79"/>
    </row>
    <row r="1128" spans="8:10" hidden="1" x14ac:dyDescent="0.2">
      <c r="H1128" s="79"/>
      <c r="I1128" s="79"/>
      <c r="J1128" s="79"/>
    </row>
    <row r="1129" spans="8:10" hidden="1" x14ac:dyDescent="0.2">
      <c r="H1129" s="79"/>
      <c r="I1129" s="79"/>
      <c r="J1129" s="79"/>
    </row>
    <row r="1130" spans="8:10" hidden="1" x14ac:dyDescent="0.2">
      <c r="H1130" s="79"/>
      <c r="I1130" s="79"/>
      <c r="J1130" s="79"/>
    </row>
    <row r="1131" spans="8:10" hidden="1" x14ac:dyDescent="0.2">
      <c r="H1131" s="79"/>
      <c r="I1131" s="79"/>
      <c r="J1131" s="79"/>
    </row>
    <row r="1132" spans="8:10" hidden="1" x14ac:dyDescent="0.2">
      <c r="H1132" s="79"/>
      <c r="I1132" s="79"/>
      <c r="J1132" s="79"/>
    </row>
    <row r="1133" spans="8:10" hidden="1" x14ac:dyDescent="0.2">
      <c r="H1133" s="79"/>
      <c r="I1133" s="79"/>
      <c r="J1133" s="79"/>
    </row>
    <row r="1134" spans="8:10" hidden="1" x14ac:dyDescent="0.2">
      <c r="H1134" s="79"/>
      <c r="I1134" s="79"/>
      <c r="J1134" s="79"/>
    </row>
    <row r="1135" spans="8:10" hidden="1" x14ac:dyDescent="0.2">
      <c r="H1135" s="79"/>
      <c r="I1135" s="79"/>
      <c r="J1135" s="79"/>
    </row>
    <row r="1136" spans="8:10" ht="10.5" hidden="1" customHeight="1" x14ac:dyDescent="0.2">
      <c r="H1136" s="79"/>
      <c r="I1136" s="79"/>
      <c r="J1136" s="79"/>
    </row>
    <row r="1137" spans="8:10" hidden="1" x14ac:dyDescent="0.2">
      <c r="H1137" s="79"/>
      <c r="I1137" s="79"/>
      <c r="J1137" s="79"/>
    </row>
    <row r="1138" spans="8:10" hidden="1" x14ac:dyDescent="0.2">
      <c r="H1138" s="79"/>
      <c r="I1138" s="79"/>
      <c r="J1138" s="79"/>
    </row>
    <row r="1139" spans="8:10" hidden="1" x14ac:dyDescent="0.2">
      <c r="H1139" s="79"/>
      <c r="I1139" s="79"/>
      <c r="J1139" s="79"/>
    </row>
    <row r="1140" spans="8:10" hidden="1" x14ac:dyDescent="0.2">
      <c r="H1140" s="79"/>
      <c r="I1140" s="79"/>
      <c r="J1140" s="79"/>
    </row>
    <row r="1141" spans="8:10" hidden="1" x14ac:dyDescent="0.2">
      <c r="H1141" s="79"/>
      <c r="I1141" s="79"/>
      <c r="J1141" s="79"/>
    </row>
    <row r="1142" spans="8:10" hidden="1" x14ac:dyDescent="0.2">
      <c r="H1142" s="79"/>
      <c r="I1142" s="79"/>
      <c r="J1142" s="79"/>
    </row>
    <row r="1143" spans="8:10" hidden="1" x14ac:dyDescent="0.2">
      <c r="H1143" s="79"/>
      <c r="I1143" s="79"/>
      <c r="J1143" s="79"/>
    </row>
    <row r="1144" spans="8:10" hidden="1" x14ac:dyDescent="0.2">
      <c r="H1144" s="79"/>
      <c r="I1144" s="79"/>
      <c r="J1144" s="79"/>
    </row>
    <row r="1145" spans="8:10" hidden="1" x14ac:dyDescent="0.2">
      <c r="H1145" s="79"/>
      <c r="I1145" s="79"/>
      <c r="J1145" s="79"/>
    </row>
    <row r="1146" spans="8:10" hidden="1" x14ac:dyDescent="0.2">
      <c r="H1146" s="79"/>
      <c r="I1146" s="79"/>
      <c r="J1146" s="79"/>
    </row>
    <row r="1147" spans="8:10" hidden="1" x14ac:dyDescent="0.2">
      <c r="H1147" s="79"/>
      <c r="I1147" s="79"/>
      <c r="J1147" s="79"/>
    </row>
    <row r="1148" spans="8:10" hidden="1" x14ac:dyDescent="0.2">
      <c r="H1148" s="79"/>
      <c r="I1148" s="79"/>
      <c r="J1148" s="79"/>
    </row>
    <row r="1149" spans="8:10" hidden="1" x14ac:dyDescent="0.2">
      <c r="H1149" s="79"/>
      <c r="I1149" s="79"/>
      <c r="J1149" s="79"/>
    </row>
    <row r="1150" spans="8:10" hidden="1" x14ac:dyDescent="0.2">
      <c r="H1150" s="79"/>
      <c r="I1150" s="79"/>
      <c r="J1150" s="79"/>
    </row>
    <row r="1151" spans="8:10" hidden="1" x14ac:dyDescent="0.2">
      <c r="H1151" s="79"/>
      <c r="I1151" s="79"/>
      <c r="J1151" s="79"/>
    </row>
    <row r="1152" spans="8:10" hidden="1" x14ac:dyDescent="0.2">
      <c r="H1152" s="79"/>
      <c r="I1152" s="79"/>
      <c r="J1152" s="79"/>
    </row>
    <row r="1153" spans="8:10" hidden="1" x14ac:dyDescent="0.2">
      <c r="H1153" s="79"/>
      <c r="I1153" s="79"/>
      <c r="J1153" s="79"/>
    </row>
    <row r="1154" spans="8:10" hidden="1" x14ac:dyDescent="0.2">
      <c r="H1154" s="79"/>
      <c r="I1154" s="79"/>
      <c r="J1154" s="79"/>
    </row>
    <row r="1155" spans="8:10" ht="6.75" hidden="1" customHeight="1" x14ac:dyDescent="0.2">
      <c r="H1155" s="79"/>
      <c r="I1155" s="79"/>
      <c r="J1155" s="79"/>
    </row>
    <row r="1156" spans="8:10" hidden="1" x14ac:dyDescent="0.2">
      <c r="H1156" s="79"/>
      <c r="I1156" s="79"/>
      <c r="J1156" s="79"/>
    </row>
    <row r="1157" spans="8:10" hidden="1" x14ac:dyDescent="0.2">
      <c r="H1157" s="79"/>
      <c r="I1157" s="79"/>
      <c r="J1157" s="79"/>
    </row>
    <row r="1158" spans="8:10" hidden="1" x14ac:dyDescent="0.2">
      <c r="H1158" s="79"/>
      <c r="I1158" s="79"/>
      <c r="J1158" s="79"/>
    </row>
    <row r="1159" spans="8:10" hidden="1" x14ac:dyDescent="0.2">
      <c r="H1159" s="79"/>
      <c r="I1159" s="79"/>
      <c r="J1159" s="79"/>
    </row>
    <row r="1160" spans="8:10" hidden="1" x14ac:dyDescent="0.2">
      <c r="H1160" s="79"/>
      <c r="I1160" s="79"/>
      <c r="J1160" s="79"/>
    </row>
    <row r="1161" spans="8:10" hidden="1" x14ac:dyDescent="0.2">
      <c r="H1161" s="79"/>
      <c r="I1161" s="79"/>
      <c r="J1161" s="79"/>
    </row>
    <row r="1162" spans="8:10" hidden="1" x14ac:dyDescent="0.2">
      <c r="H1162" s="79"/>
      <c r="I1162" s="79"/>
      <c r="J1162" s="79"/>
    </row>
    <row r="1163" spans="8:10" hidden="1" x14ac:dyDescent="0.2">
      <c r="H1163" s="79"/>
      <c r="I1163" s="79"/>
      <c r="J1163" s="79"/>
    </row>
    <row r="1164" spans="8:10" hidden="1" x14ac:dyDescent="0.2">
      <c r="H1164" s="79"/>
      <c r="I1164" s="79"/>
      <c r="J1164" s="79"/>
    </row>
    <row r="1165" spans="8:10" hidden="1" x14ac:dyDescent="0.2">
      <c r="H1165" s="79"/>
      <c r="I1165" s="79"/>
      <c r="J1165" s="79"/>
    </row>
    <row r="1166" spans="8:10" hidden="1" x14ac:dyDescent="0.2">
      <c r="H1166" s="79"/>
      <c r="I1166" s="79"/>
      <c r="J1166" s="79"/>
    </row>
    <row r="1167" spans="8:10" hidden="1" x14ac:dyDescent="0.2">
      <c r="H1167" s="79"/>
      <c r="I1167" s="79"/>
      <c r="J1167" s="79"/>
    </row>
    <row r="1168" spans="8:10" hidden="1" x14ac:dyDescent="0.2">
      <c r="H1168" s="79"/>
      <c r="I1168" s="79"/>
      <c r="J1168" s="79"/>
    </row>
    <row r="1169" spans="8:10" hidden="1" x14ac:dyDescent="0.2">
      <c r="H1169" s="79"/>
      <c r="I1169" s="79"/>
      <c r="J1169" s="79"/>
    </row>
    <row r="1170" spans="8:10" hidden="1" x14ac:dyDescent="0.2">
      <c r="H1170" s="79"/>
      <c r="I1170" s="79"/>
      <c r="J1170" s="79"/>
    </row>
    <row r="1171" spans="8:10" hidden="1" x14ac:dyDescent="0.2">
      <c r="H1171" s="79"/>
      <c r="I1171" s="79"/>
      <c r="J1171" s="79"/>
    </row>
    <row r="1172" spans="8:10" hidden="1" x14ac:dyDescent="0.2">
      <c r="H1172" s="79"/>
      <c r="I1172" s="79"/>
      <c r="J1172" s="79"/>
    </row>
    <row r="1173" spans="8:10" hidden="1" x14ac:dyDescent="0.2">
      <c r="H1173" s="79"/>
      <c r="I1173" s="79"/>
      <c r="J1173" s="79"/>
    </row>
    <row r="1174" spans="8:10" hidden="1" x14ac:dyDescent="0.2">
      <c r="H1174" s="79"/>
      <c r="I1174" s="79"/>
      <c r="J1174" s="79"/>
    </row>
    <row r="1175" spans="8:10" hidden="1" x14ac:dyDescent="0.2">
      <c r="H1175" s="79"/>
      <c r="I1175" s="79"/>
      <c r="J1175" s="79"/>
    </row>
    <row r="1176" spans="8:10" hidden="1" x14ac:dyDescent="0.2">
      <c r="H1176" s="79"/>
      <c r="I1176" s="79"/>
      <c r="J1176" s="79"/>
    </row>
    <row r="1177" spans="8:10" hidden="1" x14ac:dyDescent="0.2">
      <c r="H1177" s="79"/>
      <c r="I1177" s="79"/>
      <c r="J1177" s="79"/>
    </row>
    <row r="1178" spans="8:10" hidden="1" x14ac:dyDescent="0.2">
      <c r="H1178" s="79"/>
      <c r="I1178" s="79"/>
      <c r="J1178" s="79"/>
    </row>
    <row r="1179" spans="8:10" hidden="1" x14ac:dyDescent="0.2">
      <c r="H1179" s="79"/>
      <c r="I1179" s="79"/>
      <c r="J1179" s="79"/>
    </row>
    <row r="1180" spans="8:10" hidden="1" x14ac:dyDescent="0.2">
      <c r="H1180" s="79"/>
      <c r="I1180" s="79"/>
      <c r="J1180" s="79"/>
    </row>
    <row r="1181" spans="8:10" hidden="1" x14ac:dyDescent="0.2">
      <c r="H1181" s="79"/>
      <c r="I1181" s="79"/>
      <c r="J1181" s="79"/>
    </row>
    <row r="1182" spans="8:10" hidden="1" x14ac:dyDescent="0.2">
      <c r="H1182" s="79"/>
      <c r="I1182" s="79"/>
      <c r="J1182" s="79"/>
    </row>
    <row r="1183" spans="8:10" hidden="1" x14ac:dyDescent="0.2">
      <c r="H1183" s="79"/>
      <c r="I1183" s="79"/>
      <c r="J1183" s="79"/>
    </row>
    <row r="1184" spans="8:10" hidden="1" x14ac:dyDescent="0.2">
      <c r="H1184" s="79"/>
      <c r="I1184" s="79"/>
      <c r="J1184" s="79"/>
    </row>
    <row r="1185" spans="8:10" hidden="1" x14ac:dyDescent="0.2">
      <c r="H1185" s="79"/>
      <c r="I1185" s="79"/>
      <c r="J1185" s="79"/>
    </row>
    <row r="1186" spans="8:10" hidden="1" x14ac:dyDescent="0.2">
      <c r="H1186" s="79"/>
      <c r="I1186" s="79"/>
      <c r="J1186" s="79"/>
    </row>
    <row r="1187" spans="8:10" hidden="1" x14ac:dyDescent="0.2">
      <c r="H1187" s="79"/>
      <c r="I1187" s="79"/>
      <c r="J1187" s="79"/>
    </row>
    <row r="1188" spans="8:10" hidden="1" x14ac:dyDescent="0.2">
      <c r="H1188" s="79"/>
      <c r="I1188" s="79"/>
      <c r="J1188" s="79"/>
    </row>
    <row r="1189" spans="8:10" hidden="1" x14ac:dyDescent="0.2">
      <c r="H1189" s="79"/>
      <c r="I1189" s="79"/>
      <c r="J1189" s="79"/>
    </row>
    <row r="1190" spans="8:10" hidden="1" x14ac:dyDescent="0.2">
      <c r="H1190" s="79"/>
      <c r="I1190" s="79"/>
      <c r="J1190" s="79"/>
    </row>
    <row r="1191" spans="8:10" hidden="1" x14ac:dyDescent="0.2">
      <c r="H1191" s="79"/>
      <c r="I1191" s="79"/>
      <c r="J1191" s="79"/>
    </row>
    <row r="1192" spans="8:10" hidden="1" x14ac:dyDescent="0.2">
      <c r="H1192" s="79"/>
      <c r="I1192" s="79"/>
      <c r="J1192" s="79"/>
    </row>
    <row r="1193" spans="8:10" hidden="1" x14ac:dyDescent="0.2">
      <c r="H1193" s="79"/>
      <c r="I1193" s="79"/>
      <c r="J1193" s="79"/>
    </row>
    <row r="1194" spans="8:10" hidden="1" x14ac:dyDescent="0.2">
      <c r="H1194" s="79"/>
      <c r="I1194" s="79"/>
      <c r="J1194" s="79"/>
    </row>
    <row r="1195" spans="8:10" hidden="1" x14ac:dyDescent="0.2">
      <c r="H1195" s="79"/>
      <c r="I1195" s="79"/>
      <c r="J1195" s="79"/>
    </row>
    <row r="1196" spans="8:10" hidden="1" x14ac:dyDescent="0.2">
      <c r="H1196" s="79"/>
      <c r="I1196" s="79"/>
      <c r="J1196" s="79"/>
    </row>
    <row r="1197" spans="8:10" hidden="1" x14ac:dyDescent="0.2">
      <c r="H1197" s="79"/>
      <c r="I1197" s="79"/>
      <c r="J1197" s="79"/>
    </row>
    <row r="1198" spans="8:10" hidden="1" x14ac:dyDescent="0.2">
      <c r="H1198" s="79"/>
      <c r="I1198" s="79"/>
      <c r="J1198" s="79"/>
    </row>
    <row r="1199" spans="8:10" hidden="1" x14ac:dyDescent="0.2">
      <c r="H1199" s="79"/>
      <c r="I1199" s="79"/>
      <c r="J1199" s="79"/>
    </row>
    <row r="1200" spans="8:10" hidden="1" x14ac:dyDescent="0.2">
      <c r="H1200" s="79"/>
      <c r="I1200" s="79"/>
      <c r="J1200" s="79"/>
    </row>
    <row r="1201" spans="8:10" hidden="1" x14ac:dyDescent="0.2">
      <c r="H1201" s="79"/>
      <c r="I1201" s="79"/>
      <c r="J1201" s="79"/>
    </row>
    <row r="1202" spans="8:10" hidden="1" x14ac:dyDescent="0.2">
      <c r="H1202" s="79"/>
      <c r="I1202" s="79"/>
      <c r="J1202" s="79"/>
    </row>
    <row r="1203" spans="8:10" hidden="1" x14ac:dyDescent="0.2">
      <c r="H1203" s="79"/>
      <c r="I1203" s="79"/>
      <c r="J1203" s="79"/>
    </row>
    <row r="1204" spans="8:10" hidden="1" x14ac:dyDescent="0.2">
      <c r="H1204" s="79"/>
      <c r="I1204" s="79"/>
      <c r="J1204" s="79"/>
    </row>
    <row r="1205" spans="8:10" hidden="1" x14ac:dyDescent="0.2">
      <c r="H1205" s="79"/>
      <c r="I1205" s="79"/>
      <c r="J1205" s="79"/>
    </row>
    <row r="1206" spans="8:10" hidden="1" x14ac:dyDescent="0.2">
      <c r="H1206" s="79"/>
      <c r="I1206" s="79"/>
      <c r="J1206" s="79"/>
    </row>
    <row r="1207" spans="8:10" hidden="1" x14ac:dyDescent="0.2">
      <c r="H1207" s="79"/>
      <c r="I1207" s="79"/>
      <c r="J1207" s="79"/>
    </row>
    <row r="1208" spans="8:10" hidden="1" x14ac:dyDescent="0.2">
      <c r="H1208" s="79"/>
      <c r="I1208" s="79"/>
      <c r="J1208" s="79"/>
    </row>
    <row r="1209" spans="8:10" hidden="1" x14ac:dyDescent="0.2">
      <c r="H1209" s="79"/>
      <c r="I1209" s="79"/>
      <c r="J1209" s="79"/>
    </row>
    <row r="1210" spans="8:10" hidden="1" x14ac:dyDescent="0.2">
      <c r="H1210" s="79"/>
      <c r="I1210" s="79"/>
      <c r="J1210" s="79"/>
    </row>
    <row r="1211" spans="8:10" hidden="1" x14ac:dyDescent="0.2">
      <c r="H1211" s="79"/>
      <c r="I1211" s="79"/>
      <c r="J1211" s="79"/>
    </row>
    <row r="1212" spans="8:10" hidden="1" x14ac:dyDescent="0.2">
      <c r="H1212" s="79"/>
      <c r="I1212" s="79"/>
      <c r="J1212" s="79"/>
    </row>
    <row r="1213" spans="8:10" hidden="1" x14ac:dyDescent="0.2">
      <c r="H1213" s="79"/>
      <c r="I1213" s="79"/>
      <c r="J1213" s="79"/>
    </row>
    <row r="1214" spans="8:10" hidden="1" x14ac:dyDescent="0.2">
      <c r="H1214" s="79"/>
      <c r="I1214" s="79"/>
      <c r="J1214" s="79"/>
    </row>
    <row r="1215" spans="8:10" hidden="1" x14ac:dyDescent="0.2">
      <c r="H1215" s="79"/>
      <c r="I1215" s="79"/>
      <c r="J1215" s="79"/>
    </row>
    <row r="1216" spans="8:10" hidden="1" x14ac:dyDescent="0.2">
      <c r="H1216" s="79"/>
      <c r="I1216" s="79"/>
      <c r="J1216" s="79"/>
    </row>
    <row r="1217" spans="8:10" hidden="1" x14ac:dyDescent="0.2">
      <c r="H1217" s="79"/>
      <c r="I1217" s="79"/>
      <c r="J1217" s="79"/>
    </row>
    <row r="1218" spans="8:10" hidden="1" x14ac:dyDescent="0.2">
      <c r="H1218" s="79"/>
      <c r="I1218" s="79"/>
      <c r="J1218" s="79"/>
    </row>
    <row r="1219" spans="8:10" hidden="1" x14ac:dyDescent="0.2">
      <c r="H1219" s="79"/>
      <c r="I1219" s="79"/>
      <c r="J1219" s="79"/>
    </row>
    <row r="1220" spans="8:10" hidden="1" x14ac:dyDescent="0.2">
      <c r="H1220" s="79"/>
      <c r="I1220" s="79"/>
      <c r="J1220" s="79"/>
    </row>
    <row r="1221" spans="8:10" hidden="1" x14ac:dyDescent="0.2">
      <c r="H1221" s="79"/>
      <c r="I1221" s="79"/>
      <c r="J1221" s="79"/>
    </row>
    <row r="1222" spans="8:10" hidden="1" x14ac:dyDescent="0.2">
      <c r="H1222" s="79"/>
      <c r="I1222" s="79"/>
      <c r="J1222" s="79"/>
    </row>
    <row r="1223" spans="8:10" hidden="1" x14ac:dyDescent="0.2">
      <c r="H1223" s="79"/>
      <c r="I1223" s="79"/>
      <c r="J1223" s="79"/>
    </row>
    <row r="1224" spans="8:10" hidden="1" x14ac:dyDescent="0.2">
      <c r="H1224" s="79"/>
      <c r="I1224" s="79"/>
      <c r="J1224" s="79"/>
    </row>
    <row r="1225" spans="8:10" hidden="1" x14ac:dyDescent="0.2">
      <c r="H1225" s="79"/>
      <c r="I1225" s="79"/>
      <c r="J1225" s="79"/>
    </row>
    <row r="1226" spans="8:10" hidden="1" x14ac:dyDescent="0.2">
      <c r="H1226" s="79"/>
      <c r="I1226" s="79"/>
      <c r="J1226" s="79"/>
    </row>
    <row r="1227" spans="8:10" hidden="1" x14ac:dyDescent="0.2">
      <c r="H1227" s="79"/>
      <c r="I1227" s="79"/>
      <c r="J1227" s="79"/>
    </row>
    <row r="1228" spans="8:10" hidden="1" x14ac:dyDescent="0.2">
      <c r="H1228" s="79"/>
      <c r="I1228" s="79"/>
      <c r="J1228" s="79"/>
    </row>
    <row r="1229" spans="8:10" hidden="1" x14ac:dyDescent="0.2">
      <c r="H1229" s="79"/>
      <c r="I1229" s="79"/>
      <c r="J1229" s="79"/>
    </row>
    <row r="1230" spans="8:10" hidden="1" x14ac:dyDescent="0.2">
      <c r="H1230" s="79"/>
      <c r="I1230" s="79"/>
      <c r="J1230" s="79"/>
    </row>
    <row r="1231" spans="8:10" hidden="1" x14ac:dyDescent="0.2">
      <c r="H1231" s="79"/>
      <c r="I1231" s="79"/>
      <c r="J1231" s="79"/>
    </row>
    <row r="1232" spans="8:10" hidden="1" x14ac:dyDescent="0.2">
      <c r="H1232" s="79"/>
      <c r="I1232" s="79"/>
      <c r="J1232" s="79"/>
    </row>
    <row r="1233" spans="8:10" hidden="1" x14ac:dyDescent="0.2">
      <c r="H1233" s="79"/>
      <c r="I1233" s="79"/>
      <c r="J1233" s="79"/>
    </row>
    <row r="1234" spans="8:10" hidden="1" x14ac:dyDescent="0.2">
      <c r="H1234" s="79"/>
      <c r="I1234" s="79"/>
      <c r="J1234" s="79"/>
    </row>
    <row r="1235" spans="8:10" hidden="1" x14ac:dyDescent="0.2">
      <c r="H1235" s="79"/>
      <c r="I1235" s="79"/>
      <c r="J1235" s="79"/>
    </row>
    <row r="1236" spans="8:10" hidden="1" x14ac:dyDescent="0.2">
      <c r="H1236" s="79"/>
      <c r="I1236" s="79"/>
      <c r="J1236" s="79"/>
    </row>
    <row r="1237" spans="8:10" hidden="1" x14ac:dyDescent="0.2">
      <c r="H1237" s="79"/>
      <c r="I1237" s="79"/>
      <c r="J1237" s="79"/>
    </row>
    <row r="1238" spans="8:10" ht="6" hidden="1" customHeight="1" x14ac:dyDescent="0.2">
      <c r="H1238" s="79"/>
      <c r="I1238" s="79"/>
      <c r="J1238" s="79"/>
    </row>
    <row r="1239" spans="8:10" hidden="1" x14ac:dyDescent="0.2">
      <c r="H1239" s="79"/>
      <c r="I1239" s="79"/>
      <c r="J1239" s="79"/>
    </row>
    <row r="1240" spans="8:10" hidden="1" x14ac:dyDescent="0.2">
      <c r="H1240" s="79"/>
      <c r="I1240" s="79"/>
      <c r="J1240" s="79"/>
    </row>
    <row r="1241" spans="8:10" hidden="1" x14ac:dyDescent="0.2">
      <c r="H1241" s="79"/>
      <c r="I1241" s="79"/>
      <c r="J1241" s="79"/>
    </row>
    <row r="1242" spans="8:10" hidden="1" x14ac:dyDescent="0.2">
      <c r="H1242" s="79"/>
      <c r="I1242" s="79"/>
      <c r="J1242" s="79"/>
    </row>
    <row r="1243" spans="8:10" hidden="1" x14ac:dyDescent="0.2">
      <c r="H1243" s="79"/>
      <c r="I1243" s="79"/>
      <c r="J1243" s="79"/>
    </row>
    <row r="1244" spans="8:10" hidden="1" x14ac:dyDescent="0.2">
      <c r="H1244" s="79"/>
      <c r="I1244" s="79"/>
      <c r="J1244" s="79"/>
    </row>
    <row r="1245" spans="8:10" hidden="1" x14ac:dyDescent="0.2">
      <c r="H1245" s="79"/>
      <c r="I1245" s="79"/>
      <c r="J1245" s="79"/>
    </row>
    <row r="1246" spans="8:10" hidden="1" x14ac:dyDescent="0.2">
      <c r="H1246" s="79"/>
      <c r="I1246" s="79"/>
      <c r="J1246" s="79"/>
    </row>
    <row r="1247" spans="8:10" hidden="1" x14ac:dyDescent="0.2">
      <c r="H1247" s="79"/>
      <c r="I1247" s="79"/>
      <c r="J1247" s="79"/>
    </row>
    <row r="1248" spans="8:10" hidden="1" x14ac:dyDescent="0.2">
      <c r="H1248" s="79"/>
      <c r="I1248" s="79"/>
      <c r="J1248" s="79"/>
    </row>
    <row r="1249" spans="8:10" hidden="1" x14ac:dyDescent="0.2">
      <c r="H1249" s="79"/>
      <c r="I1249" s="79"/>
      <c r="J1249" s="79"/>
    </row>
    <row r="1250" spans="8:10" hidden="1" x14ac:dyDescent="0.2">
      <c r="H1250" s="79"/>
      <c r="I1250" s="79"/>
      <c r="J1250" s="79"/>
    </row>
    <row r="1251" spans="8:10" hidden="1" x14ac:dyDescent="0.2">
      <c r="H1251" s="79"/>
      <c r="I1251" s="79"/>
      <c r="J1251" s="79"/>
    </row>
    <row r="1252" spans="8:10" hidden="1" x14ac:dyDescent="0.2">
      <c r="H1252" s="79"/>
      <c r="I1252" s="79"/>
      <c r="J1252" s="79"/>
    </row>
    <row r="1253" spans="8:10" hidden="1" x14ac:dyDescent="0.2">
      <c r="H1253" s="79"/>
      <c r="I1253" s="79"/>
      <c r="J1253" s="79"/>
    </row>
    <row r="1254" spans="8:10" hidden="1" x14ac:dyDescent="0.2">
      <c r="H1254" s="79"/>
      <c r="I1254" s="79"/>
      <c r="J1254" s="79"/>
    </row>
    <row r="1255" spans="8:10" hidden="1" x14ac:dyDescent="0.2">
      <c r="H1255" s="79"/>
      <c r="I1255" s="79"/>
      <c r="J1255" s="79"/>
    </row>
    <row r="1256" spans="8:10" hidden="1" x14ac:dyDescent="0.2">
      <c r="H1256" s="79"/>
      <c r="I1256" s="79"/>
      <c r="J1256" s="79"/>
    </row>
    <row r="1257" spans="8:10" hidden="1" x14ac:dyDescent="0.2">
      <c r="H1257" s="79"/>
      <c r="I1257" s="79"/>
      <c r="J1257" s="79"/>
    </row>
    <row r="1258" spans="8:10" hidden="1" x14ac:dyDescent="0.2">
      <c r="H1258" s="79"/>
      <c r="I1258" s="79"/>
      <c r="J1258" s="79"/>
    </row>
    <row r="1259" spans="8:10" hidden="1" x14ac:dyDescent="0.2">
      <c r="H1259" s="79"/>
      <c r="I1259" s="79"/>
      <c r="J1259" s="79"/>
    </row>
    <row r="1260" spans="8:10" hidden="1" x14ac:dyDescent="0.2">
      <c r="H1260" s="79"/>
      <c r="I1260" s="79"/>
      <c r="J1260" s="79"/>
    </row>
    <row r="1261" spans="8:10" hidden="1" x14ac:dyDescent="0.2">
      <c r="H1261" s="79"/>
      <c r="I1261" s="79"/>
      <c r="J1261" s="79"/>
    </row>
    <row r="1262" spans="8:10" hidden="1" x14ac:dyDescent="0.2">
      <c r="H1262" s="79"/>
      <c r="I1262" s="79"/>
      <c r="J1262" s="79"/>
    </row>
    <row r="1263" spans="8:10" hidden="1" x14ac:dyDescent="0.2">
      <c r="H1263" s="79"/>
      <c r="I1263" s="79"/>
      <c r="J1263" s="79"/>
    </row>
    <row r="1264" spans="8:10" hidden="1" x14ac:dyDescent="0.2">
      <c r="H1264" s="79"/>
      <c r="I1264" s="79"/>
      <c r="J1264" s="79"/>
    </row>
    <row r="1265" spans="8:10" hidden="1" x14ac:dyDescent="0.2">
      <c r="H1265" s="79"/>
      <c r="I1265" s="79"/>
      <c r="J1265" s="79"/>
    </row>
    <row r="1266" spans="8:10" hidden="1" x14ac:dyDescent="0.2">
      <c r="H1266" s="79"/>
      <c r="I1266" s="79"/>
      <c r="J1266" s="79"/>
    </row>
    <row r="1267" spans="8:10" hidden="1" x14ac:dyDescent="0.2">
      <c r="H1267" s="79"/>
      <c r="I1267" s="79"/>
      <c r="J1267" s="79"/>
    </row>
    <row r="1268" spans="8:10" hidden="1" x14ac:dyDescent="0.2"/>
    <row r="1269" spans="8:10" hidden="1" x14ac:dyDescent="0.2"/>
    <row r="1270" spans="8:10" hidden="1" x14ac:dyDescent="0.2"/>
    <row r="1271" spans="8:10" hidden="1" x14ac:dyDescent="0.2"/>
    <row r="1272" spans="8:10" hidden="1" x14ac:dyDescent="0.2"/>
    <row r="1273" spans="8:10" hidden="1" x14ac:dyDescent="0.2"/>
    <row r="1274" spans="8:10" hidden="1" x14ac:dyDescent="0.2"/>
    <row r="1275" spans="8:10" hidden="1" x14ac:dyDescent="0.2"/>
    <row r="1276" spans="8:10" hidden="1" x14ac:dyDescent="0.2"/>
    <row r="1277" spans="8:10" hidden="1" x14ac:dyDescent="0.2"/>
    <row r="1278" spans="8:10" hidden="1" x14ac:dyDescent="0.2"/>
    <row r="1279" spans="8:10" hidden="1" x14ac:dyDescent="0.2"/>
    <row r="1280" spans="8:10" ht="6" hidden="1" customHeight="1" x14ac:dyDescent="0.2"/>
    <row r="1281" spans="2:10" hidden="1" x14ac:dyDescent="0.2"/>
    <row r="1282" spans="2:10" hidden="1" x14ac:dyDescent="0.2"/>
    <row r="1283" spans="2:10" s="83" customFormat="1" hidden="1" x14ac:dyDescent="0.2">
      <c r="B1283" s="79"/>
      <c r="C1283" s="79"/>
      <c r="D1283" s="79"/>
      <c r="E1283" s="79"/>
      <c r="F1283" s="79"/>
      <c r="G1283" s="79"/>
      <c r="H1283" s="80"/>
      <c r="I1283" s="80"/>
      <c r="J1283" s="80"/>
    </row>
    <row r="1284" spans="2:10" s="83" customFormat="1" hidden="1" x14ac:dyDescent="0.2">
      <c r="B1284" s="79"/>
      <c r="C1284" s="79"/>
      <c r="D1284" s="79"/>
      <c r="E1284" s="79"/>
      <c r="F1284" s="79"/>
      <c r="G1284" s="79"/>
      <c r="H1284" s="80"/>
      <c r="I1284" s="80"/>
      <c r="J1284" s="80"/>
    </row>
    <row r="1285" spans="2:10" s="83" customFormat="1" hidden="1" x14ac:dyDescent="0.2">
      <c r="B1285" s="79"/>
      <c r="C1285" s="79"/>
      <c r="D1285" s="79"/>
      <c r="E1285" s="79"/>
      <c r="F1285" s="79"/>
      <c r="G1285" s="79"/>
      <c r="H1285" s="80"/>
      <c r="I1285" s="80"/>
      <c r="J1285" s="80"/>
    </row>
    <row r="1286" spans="2:10" s="83" customFormat="1" hidden="1" x14ac:dyDescent="0.2">
      <c r="B1286" s="79"/>
      <c r="C1286" s="79"/>
      <c r="D1286" s="79"/>
      <c r="E1286" s="79"/>
      <c r="F1286" s="79"/>
      <c r="G1286" s="79"/>
      <c r="H1286" s="80"/>
      <c r="I1286" s="80"/>
      <c r="J1286" s="80"/>
    </row>
    <row r="1287" spans="2:10" s="83" customFormat="1" hidden="1" x14ac:dyDescent="0.2">
      <c r="B1287" s="79"/>
      <c r="C1287" s="79"/>
      <c r="D1287" s="79"/>
      <c r="E1287" s="79"/>
      <c r="F1287" s="79"/>
      <c r="G1287" s="79"/>
      <c r="H1287" s="80"/>
      <c r="I1287" s="80"/>
      <c r="J1287" s="80"/>
    </row>
    <row r="1288" spans="2:10" s="83" customFormat="1" hidden="1" x14ac:dyDescent="0.2">
      <c r="B1288" s="79"/>
      <c r="C1288" s="79"/>
      <c r="D1288" s="79"/>
      <c r="E1288" s="79"/>
      <c r="F1288" s="79"/>
      <c r="G1288" s="79"/>
      <c r="H1288" s="80"/>
      <c r="I1288" s="80"/>
      <c r="J1288" s="80"/>
    </row>
    <row r="1289" spans="2:10" s="83" customFormat="1" hidden="1" x14ac:dyDescent="0.2">
      <c r="B1289" s="79"/>
      <c r="C1289" s="79"/>
      <c r="D1289" s="79"/>
      <c r="E1289" s="79"/>
      <c r="F1289" s="79"/>
      <c r="G1289" s="79"/>
      <c r="H1289" s="80"/>
      <c r="I1289" s="80"/>
      <c r="J1289" s="80"/>
    </row>
    <row r="1290" spans="2:10" s="83" customFormat="1" hidden="1" x14ac:dyDescent="0.2">
      <c r="B1290" s="79"/>
      <c r="C1290" s="79"/>
      <c r="D1290" s="79"/>
      <c r="E1290" s="79"/>
      <c r="F1290" s="79"/>
      <c r="G1290" s="79"/>
      <c r="H1290" s="80"/>
      <c r="I1290" s="80"/>
      <c r="J1290" s="80"/>
    </row>
    <row r="1291" spans="2:10" hidden="1" x14ac:dyDescent="0.2"/>
    <row r="1292" spans="2:10" hidden="1" x14ac:dyDescent="0.2"/>
    <row r="1293" spans="2:10" hidden="1" x14ac:dyDescent="0.2"/>
    <row r="1294" spans="2:10" hidden="1" x14ac:dyDescent="0.2"/>
    <row r="1295" spans="2:10" hidden="1" x14ac:dyDescent="0.2"/>
    <row r="1296" spans="2:10" hidden="1" x14ac:dyDescent="0.2"/>
    <row r="1297" spans="8:10" hidden="1" x14ac:dyDescent="0.2"/>
    <row r="1298" spans="8:10" hidden="1" x14ac:dyDescent="0.2"/>
    <row r="1299" spans="8:10" hidden="1" x14ac:dyDescent="0.2"/>
    <row r="1300" spans="8:10" hidden="1" x14ac:dyDescent="0.2">
      <c r="H1300" s="79"/>
      <c r="I1300" s="79"/>
      <c r="J1300" s="79"/>
    </row>
    <row r="1301" spans="8:10" hidden="1" x14ac:dyDescent="0.2">
      <c r="H1301" s="79"/>
      <c r="I1301" s="79"/>
      <c r="J1301" s="79"/>
    </row>
    <row r="1302" spans="8:10" hidden="1" x14ac:dyDescent="0.2">
      <c r="H1302" s="79"/>
      <c r="I1302" s="79"/>
      <c r="J1302" s="79"/>
    </row>
    <row r="1303" spans="8:10" hidden="1" x14ac:dyDescent="0.2">
      <c r="H1303" s="79"/>
      <c r="I1303" s="79"/>
      <c r="J1303" s="79"/>
    </row>
    <row r="1304" spans="8:10" ht="10.5" hidden="1" customHeight="1" x14ac:dyDescent="0.2">
      <c r="H1304" s="79"/>
      <c r="I1304" s="79"/>
      <c r="J1304" s="79"/>
    </row>
    <row r="1305" spans="8:10" hidden="1" x14ac:dyDescent="0.2">
      <c r="H1305" s="79"/>
      <c r="I1305" s="79"/>
      <c r="J1305" s="79"/>
    </row>
    <row r="1306" spans="8:10" hidden="1" x14ac:dyDescent="0.2">
      <c r="H1306" s="79"/>
      <c r="I1306" s="79"/>
      <c r="J1306" s="79"/>
    </row>
    <row r="1307" spans="8:10" hidden="1" x14ac:dyDescent="0.2">
      <c r="H1307" s="79"/>
      <c r="I1307" s="79"/>
      <c r="J1307" s="79"/>
    </row>
    <row r="1308" spans="8:10" hidden="1" x14ac:dyDescent="0.2">
      <c r="H1308" s="79"/>
      <c r="I1308" s="79"/>
      <c r="J1308" s="79"/>
    </row>
    <row r="1309" spans="8:10" hidden="1" x14ac:dyDescent="0.2">
      <c r="H1309" s="79"/>
      <c r="I1309" s="79"/>
      <c r="J1309" s="79"/>
    </row>
    <row r="1310" spans="8:10" hidden="1" x14ac:dyDescent="0.2">
      <c r="H1310" s="79"/>
      <c r="I1310" s="79"/>
      <c r="J1310" s="79"/>
    </row>
    <row r="1311" spans="8:10" hidden="1" x14ac:dyDescent="0.2">
      <c r="H1311" s="79"/>
      <c r="I1311" s="79"/>
      <c r="J1311" s="79"/>
    </row>
    <row r="1312" spans="8:10" hidden="1" x14ac:dyDescent="0.2">
      <c r="H1312" s="79"/>
      <c r="I1312" s="79"/>
      <c r="J1312" s="79"/>
    </row>
    <row r="1313" spans="8:10" hidden="1" x14ac:dyDescent="0.2">
      <c r="H1313" s="79"/>
      <c r="I1313" s="79"/>
      <c r="J1313" s="79"/>
    </row>
    <row r="1314" spans="8:10" hidden="1" x14ac:dyDescent="0.2">
      <c r="H1314" s="79"/>
      <c r="I1314" s="79"/>
      <c r="J1314" s="79"/>
    </row>
    <row r="1315" spans="8:10" hidden="1" x14ac:dyDescent="0.2">
      <c r="H1315" s="79"/>
      <c r="I1315" s="79"/>
      <c r="J1315" s="79"/>
    </row>
    <row r="1316" spans="8:10" hidden="1" x14ac:dyDescent="0.2">
      <c r="H1316" s="79"/>
      <c r="I1316" s="79"/>
      <c r="J1316" s="79"/>
    </row>
    <row r="1317" spans="8:10" hidden="1" x14ac:dyDescent="0.2">
      <c r="H1317" s="79"/>
      <c r="I1317" s="79"/>
      <c r="J1317" s="79"/>
    </row>
    <row r="1318" spans="8:10" hidden="1" x14ac:dyDescent="0.2">
      <c r="H1318" s="79"/>
      <c r="I1318" s="79"/>
      <c r="J1318" s="79"/>
    </row>
    <row r="1319" spans="8:10" hidden="1" x14ac:dyDescent="0.2">
      <c r="H1319" s="79"/>
      <c r="I1319" s="79"/>
      <c r="J1319" s="79"/>
    </row>
    <row r="1320" spans="8:10" hidden="1" x14ac:dyDescent="0.2">
      <c r="H1320" s="79"/>
      <c r="I1320" s="79"/>
      <c r="J1320" s="79"/>
    </row>
    <row r="1321" spans="8:10" hidden="1" x14ac:dyDescent="0.2">
      <c r="H1321" s="79"/>
      <c r="I1321" s="79"/>
      <c r="J1321" s="79"/>
    </row>
    <row r="1322" spans="8:10" hidden="1" x14ac:dyDescent="0.2">
      <c r="H1322" s="79"/>
      <c r="I1322" s="79"/>
      <c r="J1322" s="79"/>
    </row>
    <row r="1323" spans="8:10" hidden="1" x14ac:dyDescent="0.2">
      <c r="H1323" s="79"/>
      <c r="I1323" s="79"/>
      <c r="J1323" s="79"/>
    </row>
    <row r="1324" spans="8:10" hidden="1" x14ac:dyDescent="0.2">
      <c r="H1324" s="79"/>
      <c r="I1324" s="79"/>
      <c r="J1324" s="79"/>
    </row>
    <row r="1325" spans="8:10" hidden="1" x14ac:dyDescent="0.2">
      <c r="H1325" s="79"/>
      <c r="I1325" s="79"/>
      <c r="J1325" s="79"/>
    </row>
    <row r="1326" spans="8:10" hidden="1" x14ac:dyDescent="0.2">
      <c r="H1326" s="79"/>
      <c r="I1326" s="79"/>
      <c r="J1326" s="79"/>
    </row>
    <row r="1327" spans="8:10" hidden="1" x14ac:dyDescent="0.2">
      <c r="H1327" s="79"/>
      <c r="I1327" s="79"/>
      <c r="J1327" s="79"/>
    </row>
    <row r="1328" spans="8:10" hidden="1" x14ac:dyDescent="0.2">
      <c r="H1328" s="79"/>
      <c r="I1328" s="79"/>
      <c r="J1328" s="79"/>
    </row>
    <row r="1329" spans="8:10" hidden="1" x14ac:dyDescent="0.2">
      <c r="H1329" s="79"/>
      <c r="I1329" s="79"/>
      <c r="J1329" s="79"/>
    </row>
    <row r="1330" spans="8:10" hidden="1" x14ac:dyDescent="0.2">
      <c r="H1330" s="79"/>
      <c r="I1330" s="79"/>
      <c r="J1330" s="79"/>
    </row>
    <row r="1331" spans="8:10" hidden="1" x14ac:dyDescent="0.2">
      <c r="H1331" s="79"/>
      <c r="I1331" s="79"/>
      <c r="J1331" s="79"/>
    </row>
    <row r="1332" spans="8:10" hidden="1" x14ac:dyDescent="0.2">
      <c r="H1332" s="79"/>
      <c r="I1332" s="79"/>
    </row>
    <row r="1333" spans="8:10" hidden="1" x14ac:dyDescent="0.2">
      <c r="H1333" s="79"/>
      <c r="I1333" s="79"/>
    </row>
    <row r="1334" spans="8:10" hidden="1" x14ac:dyDescent="0.2">
      <c r="H1334" s="79"/>
      <c r="I1334" s="79"/>
    </row>
    <row r="1335" spans="8:10" hidden="1" x14ac:dyDescent="0.2">
      <c r="H1335" s="79"/>
      <c r="I1335" s="79"/>
    </row>
    <row r="1336" spans="8:10" hidden="1" x14ac:dyDescent="0.2">
      <c r="H1336" s="79"/>
      <c r="I1336" s="79"/>
    </row>
    <row r="1337" spans="8:10" hidden="1" x14ac:dyDescent="0.2">
      <c r="H1337" s="79"/>
      <c r="I1337" s="79"/>
    </row>
    <row r="1338" spans="8:10" hidden="1" x14ac:dyDescent="0.2">
      <c r="H1338" s="79"/>
      <c r="I1338" s="79"/>
    </row>
    <row r="1339" spans="8:10" hidden="1" x14ac:dyDescent="0.2">
      <c r="H1339" s="79"/>
      <c r="I1339" s="79"/>
    </row>
    <row r="1340" spans="8:10" hidden="1" x14ac:dyDescent="0.2">
      <c r="H1340" s="79"/>
      <c r="I1340" s="79"/>
      <c r="J1340" s="80" t="e">
        <f>J20+J23+J28+#REF!+#REF!+#REF!+J37+J48+J52+J53+#REF!+J56+J125+J126+J128+J129+J130+J132+J179+J180+J183+J184+#REF!+#REF!+J494+J496+J517+J521+J522+#REF!</f>
        <v>#REF!</v>
      </c>
    </row>
    <row r="1341" spans="8:10" hidden="1" x14ac:dyDescent="0.2">
      <c r="H1341" s="79"/>
      <c r="I1341" s="79"/>
    </row>
    <row r="1342" spans="8:10" hidden="1" x14ac:dyDescent="0.2">
      <c r="H1342" s="79"/>
      <c r="I1342" s="79"/>
    </row>
    <row r="1343" spans="8:10" hidden="1" x14ac:dyDescent="0.2">
      <c r="H1343" s="79"/>
      <c r="I1343" s="79"/>
    </row>
    <row r="1344" spans="8:10" hidden="1" x14ac:dyDescent="0.2">
      <c r="H1344" s="79"/>
      <c r="I1344" s="79"/>
    </row>
    <row r="1345" spans="8:10" hidden="1" x14ac:dyDescent="0.2">
      <c r="H1345" s="79"/>
      <c r="I1345" s="79"/>
    </row>
    <row r="1346" spans="8:10" hidden="1" x14ac:dyDescent="0.2">
      <c r="H1346" s="79"/>
      <c r="I1346" s="79"/>
    </row>
    <row r="1347" spans="8:10" x14ac:dyDescent="0.2">
      <c r="H1347" s="79"/>
      <c r="I1347" s="79"/>
    </row>
    <row r="1348" spans="8:10" x14ac:dyDescent="0.2">
      <c r="H1348" s="79"/>
      <c r="I1348" s="79"/>
      <c r="J1348" s="113"/>
    </row>
    <row r="1349" spans="8:10" x14ac:dyDescent="0.2">
      <c r="H1349" s="79"/>
      <c r="I1349" s="79"/>
      <c r="J1349" s="79"/>
    </row>
    <row r="1350" spans="8:10" x14ac:dyDescent="0.2">
      <c r="H1350" s="79"/>
    </row>
    <row r="1351" spans="8:10" x14ac:dyDescent="0.2">
      <c r="H1351" s="79"/>
      <c r="I1351" s="79"/>
      <c r="J1351" s="79"/>
    </row>
    <row r="1352" spans="8:10" x14ac:dyDescent="0.2">
      <c r="H1352" s="79"/>
      <c r="I1352" s="79"/>
      <c r="J1352" s="79"/>
    </row>
    <row r="1353" spans="8:10" x14ac:dyDescent="0.2">
      <c r="H1353" s="79"/>
      <c r="I1353" s="79"/>
      <c r="J1353" s="79"/>
    </row>
    <row r="1354" spans="8:10" x14ac:dyDescent="0.2">
      <c r="H1354" s="79"/>
      <c r="I1354" s="79"/>
      <c r="J1354" s="79"/>
    </row>
    <row r="1355" spans="8:10" x14ac:dyDescent="0.2">
      <c r="H1355" s="79"/>
      <c r="I1355" s="79"/>
      <c r="J1355" s="79"/>
    </row>
    <row r="1356" spans="8:10" x14ac:dyDescent="0.2">
      <c r="H1356" s="79"/>
      <c r="I1356" s="79"/>
      <c r="J1356" s="79"/>
    </row>
    <row r="1357" spans="8:10" x14ac:dyDescent="0.2">
      <c r="H1357" s="79"/>
      <c r="I1357" s="79"/>
      <c r="J1357" s="79"/>
    </row>
    <row r="1358" spans="8:10" x14ac:dyDescent="0.2">
      <c r="H1358" s="79"/>
      <c r="I1358" s="79"/>
      <c r="J1358" s="79"/>
    </row>
    <row r="1359" spans="8:10" x14ac:dyDescent="0.2">
      <c r="H1359" s="79"/>
      <c r="I1359" s="79"/>
      <c r="J1359" s="79"/>
    </row>
    <row r="1360" spans="8:10" x14ac:dyDescent="0.2">
      <c r="H1360" s="79"/>
      <c r="I1360" s="79"/>
      <c r="J1360" s="79"/>
    </row>
    <row r="1361" spans="8:10" x14ac:dyDescent="0.2">
      <c r="H1361" s="79"/>
      <c r="I1361" s="79"/>
      <c r="J1361" s="79"/>
    </row>
    <row r="1362" spans="8:10" x14ac:dyDescent="0.2">
      <c r="H1362" s="79"/>
      <c r="I1362" s="79"/>
      <c r="J1362" s="79"/>
    </row>
    <row r="1363" spans="8:10" x14ac:dyDescent="0.2">
      <c r="H1363" s="79"/>
      <c r="I1363" s="79"/>
      <c r="J1363" s="79"/>
    </row>
    <row r="1364" spans="8:10" x14ac:dyDescent="0.2">
      <c r="H1364" s="79"/>
      <c r="I1364" s="79"/>
      <c r="J1364" s="79"/>
    </row>
    <row r="1365" spans="8:10" x14ac:dyDescent="0.2">
      <c r="H1365" s="79"/>
      <c r="I1365" s="79"/>
      <c r="J1365" s="79"/>
    </row>
    <row r="1366" spans="8:10" x14ac:dyDescent="0.2">
      <c r="H1366" s="79"/>
      <c r="I1366" s="79"/>
      <c r="J1366" s="79"/>
    </row>
    <row r="1367" spans="8:10" x14ac:dyDescent="0.2">
      <c r="H1367" s="79"/>
      <c r="I1367" s="79"/>
      <c r="J1367" s="79"/>
    </row>
    <row r="1368" spans="8:10" x14ac:dyDescent="0.2">
      <c r="H1368" s="79"/>
      <c r="I1368" s="79"/>
      <c r="J1368" s="79"/>
    </row>
    <row r="1369" spans="8:10" x14ac:dyDescent="0.2">
      <c r="H1369" s="79"/>
      <c r="I1369" s="79"/>
      <c r="J1369" s="79"/>
    </row>
    <row r="1370" spans="8:10" x14ac:dyDescent="0.2">
      <c r="H1370" s="79"/>
      <c r="I1370" s="79"/>
      <c r="J1370" s="79"/>
    </row>
    <row r="1371" spans="8:10" x14ac:dyDescent="0.2">
      <c r="H1371" s="79"/>
      <c r="I1371" s="79"/>
      <c r="J1371" s="79"/>
    </row>
    <row r="1372" spans="8:10" x14ac:dyDescent="0.2">
      <c r="H1372" s="79"/>
      <c r="I1372" s="79"/>
      <c r="J1372" s="79"/>
    </row>
    <row r="1373" spans="8:10" x14ac:dyDescent="0.2">
      <c r="H1373" s="79"/>
      <c r="I1373" s="79"/>
      <c r="J1373" s="79"/>
    </row>
    <row r="1374" spans="8:10" x14ac:dyDescent="0.2">
      <c r="H1374" s="79"/>
      <c r="I1374" s="79"/>
      <c r="J1374" s="79"/>
    </row>
    <row r="1375" spans="8:10" x14ac:dyDescent="0.2">
      <c r="H1375" s="79"/>
      <c r="I1375" s="79"/>
      <c r="J1375" s="79"/>
    </row>
    <row r="1376" spans="8:10" x14ac:dyDescent="0.2">
      <c r="H1376" s="79"/>
      <c r="I1376" s="79"/>
      <c r="J1376" s="79"/>
    </row>
    <row r="1377" spans="8:10" x14ac:dyDescent="0.2">
      <c r="H1377" s="79"/>
      <c r="I1377" s="79"/>
      <c r="J1377" s="79"/>
    </row>
    <row r="1378" spans="8:10" x14ac:dyDescent="0.2">
      <c r="H1378" s="79"/>
      <c r="I1378" s="79"/>
      <c r="J1378" s="79"/>
    </row>
    <row r="1379" spans="8:10" x14ac:dyDescent="0.2">
      <c r="H1379" s="79"/>
      <c r="I1379" s="79"/>
      <c r="J1379" s="79"/>
    </row>
    <row r="1380" spans="8:10" x14ac:dyDescent="0.2">
      <c r="H1380" s="79"/>
      <c r="I1380" s="79"/>
      <c r="J1380" s="79"/>
    </row>
    <row r="1381" spans="8:10" x14ac:dyDescent="0.2">
      <c r="H1381" s="79"/>
      <c r="I1381" s="79"/>
      <c r="J1381" s="79"/>
    </row>
    <row r="1382" spans="8:10" x14ac:dyDescent="0.2">
      <c r="H1382" s="79"/>
      <c r="I1382" s="79"/>
      <c r="J1382" s="79"/>
    </row>
    <row r="1383" spans="8:10" x14ac:dyDescent="0.2">
      <c r="H1383" s="79"/>
      <c r="I1383" s="79"/>
      <c r="J1383" s="79"/>
    </row>
    <row r="1384" spans="8:10" x14ac:dyDescent="0.2">
      <c r="H1384" s="79"/>
      <c r="I1384" s="79"/>
      <c r="J1384" s="79"/>
    </row>
    <row r="1385" spans="8:10" x14ac:dyDescent="0.2">
      <c r="H1385" s="79"/>
      <c r="I1385" s="79"/>
      <c r="J1385" s="79"/>
    </row>
    <row r="1386" spans="8:10" x14ac:dyDescent="0.2">
      <c r="H1386" s="79"/>
      <c r="I1386" s="79"/>
      <c r="J1386" s="79"/>
    </row>
    <row r="1387" spans="8:10" x14ac:dyDescent="0.2">
      <c r="H1387" s="79"/>
      <c r="I1387" s="79"/>
      <c r="J1387" s="79"/>
    </row>
    <row r="1388" spans="8:10" x14ac:dyDescent="0.2">
      <c r="H1388" s="79"/>
      <c r="I1388" s="79"/>
      <c r="J1388" s="79"/>
    </row>
    <row r="1389" spans="8:10" x14ac:dyDescent="0.2">
      <c r="H1389" s="79"/>
      <c r="I1389" s="79"/>
      <c r="J1389" s="79"/>
    </row>
    <row r="1390" spans="8:10" x14ac:dyDescent="0.2">
      <c r="H1390" s="79"/>
      <c r="I1390" s="79"/>
      <c r="J1390" s="79"/>
    </row>
    <row r="1391" spans="8:10" x14ac:dyDescent="0.2">
      <c r="H1391" s="79"/>
      <c r="I1391" s="79"/>
      <c r="J1391" s="79"/>
    </row>
    <row r="1392" spans="8:10" x14ac:dyDescent="0.2">
      <c r="H1392" s="79"/>
      <c r="I1392" s="79"/>
      <c r="J1392" s="79"/>
    </row>
    <row r="1393" spans="8:10" x14ac:dyDescent="0.2">
      <c r="H1393" s="79"/>
      <c r="I1393" s="79"/>
      <c r="J1393" s="79"/>
    </row>
    <row r="1394" spans="8:10" x14ac:dyDescent="0.2">
      <c r="H1394" s="79"/>
      <c r="I1394" s="79"/>
      <c r="J1394" s="79"/>
    </row>
    <row r="1395" spans="8:10" x14ac:dyDescent="0.2">
      <c r="H1395" s="79"/>
      <c r="I1395" s="79"/>
      <c r="J1395" s="79"/>
    </row>
    <row r="1396" spans="8:10" x14ac:dyDescent="0.2">
      <c r="H1396" s="79"/>
      <c r="I1396" s="79"/>
      <c r="J1396" s="79"/>
    </row>
    <row r="1397" spans="8:10" x14ac:dyDescent="0.2">
      <c r="H1397" s="79"/>
      <c r="I1397" s="79"/>
      <c r="J1397" s="79"/>
    </row>
    <row r="1398" spans="8:10" x14ac:dyDescent="0.2">
      <c r="H1398" s="79"/>
      <c r="I1398" s="79"/>
      <c r="J1398" s="79"/>
    </row>
    <row r="1399" spans="8:10" x14ac:dyDescent="0.2">
      <c r="H1399" s="79"/>
      <c r="I1399" s="79"/>
      <c r="J1399" s="79"/>
    </row>
    <row r="1400" spans="8:10" x14ac:dyDescent="0.2">
      <c r="H1400" s="79"/>
      <c r="I1400" s="79"/>
      <c r="J1400" s="79"/>
    </row>
    <row r="1401" spans="8:10" x14ac:dyDescent="0.2">
      <c r="H1401" s="79"/>
      <c r="I1401" s="79"/>
      <c r="J1401" s="79"/>
    </row>
    <row r="1402" spans="8:10" x14ac:dyDescent="0.2">
      <c r="H1402" s="79"/>
      <c r="I1402" s="79"/>
      <c r="J1402" s="79"/>
    </row>
    <row r="1403" spans="8:10" x14ac:dyDescent="0.2">
      <c r="H1403" s="79"/>
      <c r="I1403" s="79"/>
      <c r="J1403" s="79"/>
    </row>
    <row r="1404" spans="8:10" x14ac:dyDescent="0.2">
      <c r="H1404" s="79"/>
      <c r="I1404" s="79"/>
      <c r="J1404" s="79"/>
    </row>
    <row r="1405" spans="8:10" x14ac:dyDescent="0.2">
      <c r="H1405" s="79"/>
      <c r="I1405" s="79"/>
      <c r="J1405" s="79"/>
    </row>
    <row r="1406" spans="8:10" x14ac:dyDescent="0.2">
      <c r="H1406" s="79"/>
      <c r="I1406" s="79"/>
      <c r="J1406" s="79"/>
    </row>
    <row r="1407" spans="8:10" x14ac:dyDescent="0.2">
      <c r="H1407" s="79"/>
      <c r="I1407" s="79"/>
      <c r="J1407" s="79"/>
    </row>
    <row r="1408" spans="8:10" x14ac:dyDescent="0.2">
      <c r="H1408" s="79"/>
      <c r="I1408" s="79"/>
      <c r="J1408" s="79"/>
    </row>
    <row r="1409" spans="8:10" x14ac:dyDescent="0.2">
      <c r="H1409" s="79"/>
      <c r="I1409" s="79"/>
      <c r="J1409" s="79"/>
    </row>
    <row r="1410" spans="8:10" x14ac:dyDescent="0.2">
      <c r="H1410" s="79"/>
      <c r="I1410" s="79"/>
      <c r="J1410" s="79"/>
    </row>
    <row r="1411" spans="8:10" x14ac:dyDescent="0.2">
      <c r="H1411" s="79"/>
      <c r="I1411" s="79"/>
      <c r="J1411" s="79"/>
    </row>
    <row r="1412" spans="8:10" x14ac:dyDescent="0.2">
      <c r="H1412" s="79"/>
      <c r="I1412" s="79"/>
      <c r="J1412" s="79"/>
    </row>
    <row r="1413" spans="8:10" x14ac:dyDescent="0.2">
      <c r="H1413" s="79"/>
      <c r="I1413" s="79"/>
      <c r="J1413" s="79"/>
    </row>
    <row r="1414" spans="8:10" x14ac:dyDescent="0.2">
      <c r="H1414" s="79"/>
      <c r="I1414" s="79"/>
      <c r="J1414" s="79"/>
    </row>
    <row r="1415" spans="8:10" x14ac:dyDescent="0.2">
      <c r="H1415" s="79"/>
      <c r="I1415" s="79"/>
      <c r="J1415" s="79"/>
    </row>
    <row r="1416" spans="8:10" x14ac:dyDescent="0.2">
      <c r="H1416" s="79"/>
      <c r="I1416" s="79"/>
      <c r="J1416" s="79"/>
    </row>
    <row r="1417" spans="8:10" x14ac:dyDescent="0.2">
      <c r="H1417" s="79"/>
      <c r="I1417" s="79"/>
      <c r="J1417" s="79"/>
    </row>
    <row r="1418" spans="8:10" x14ac:dyDescent="0.2">
      <c r="H1418" s="79"/>
      <c r="I1418" s="79"/>
      <c r="J1418" s="79"/>
    </row>
    <row r="1419" spans="8:10" x14ac:dyDescent="0.2">
      <c r="H1419" s="79"/>
      <c r="I1419" s="79"/>
      <c r="J1419" s="79"/>
    </row>
    <row r="1420" spans="8:10" x14ac:dyDescent="0.2">
      <c r="H1420" s="79"/>
      <c r="I1420" s="79"/>
      <c r="J1420" s="79"/>
    </row>
    <row r="1421" spans="8:10" x14ac:dyDescent="0.2">
      <c r="H1421" s="79"/>
      <c r="I1421" s="79"/>
      <c r="J1421" s="79"/>
    </row>
    <row r="1422" spans="8:10" x14ac:dyDescent="0.2">
      <c r="H1422" s="79"/>
      <c r="I1422" s="79"/>
      <c r="J1422" s="79"/>
    </row>
    <row r="1423" spans="8:10" x14ac:dyDescent="0.2">
      <c r="H1423" s="79"/>
      <c r="I1423" s="79"/>
      <c r="J1423" s="79"/>
    </row>
    <row r="1424" spans="8:10" x14ac:dyDescent="0.2">
      <c r="H1424" s="79"/>
      <c r="I1424" s="79"/>
      <c r="J1424" s="79"/>
    </row>
    <row r="1425" spans="8:10" x14ac:dyDescent="0.2">
      <c r="H1425" s="79"/>
      <c r="I1425" s="79"/>
      <c r="J1425" s="79"/>
    </row>
    <row r="1426" spans="8:10" x14ac:dyDescent="0.2">
      <c r="H1426" s="79"/>
      <c r="I1426" s="79"/>
      <c r="J1426" s="79"/>
    </row>
    <row r="1427" spans="8:10" x14ac:dyDescent="0.2">
      <c r="H1427" s="79"/>
      <c r="I1427" s="79"/>
      <c r="J1427" s="79"/>
    </row>
    <row r="1428" spans="8:10" x14ac:dyDescent="0.2">
      <c r="H1428" s="79"/>
      <c r="I1428" s="79"/>
      <c r="J1428" s="79"/>
    </row>
    <row r="1429" spans="8:10" x14ac:dyDescent="0.2">
      <c r="H1429" s="79"/>
      <c r="I1429" s="79"/>
      <c r="J1429" s="79"/>
    </row>
    <row r="1430" spans="8:10" x14ac:dyDescent="0.2">
      <c r="H1430" s="79"/>
      <c r="I1430" s="79"/>
      <c r="J1430" s="79"/>
    </row>
    <row r="1431" spans="8:10" x14ac:dyDescent="0.2">
      <c r="H1431" s="79"/>
      <c r="I1431" s="79"/>
      <c r="J1431" s="79"/>
    </row>
    <row r="1432" spans="8:10" x14ac:dyDescent="0.2">
      <c r="H1432" s="79"/>
      <c r="I1432" s="79"/>
      <c r="J1432" s="79"/>
    </row>
    <row r="1433" spans="8:10" x14ac:dyDescent="0.2">
      <c r="H1433" s="79"/>
      <c r="I1433" s="79"/>
      <c r="J1433" s="79"/>
    </row>
    <row r="1434" spans="8:10" x14ac:dyDescent="0.2">
      <c r="H1434" s="79"/>
      <c r="I1434" s="79"/>
      <c r="J1434" s="79"/>
    </row>
    <row r="1435" spans="8:10" x14ac:dyDescent="0.2">
      <c r="H1435" s="79"/>
      <c r="I1435" s="79"/>
      <c r="J1435" s="79"/>
    </row>
    <row r="1436" spans="8:10" x14ac:dyDescent="0.2">
      <c r="H1436" s="79"/>
      <c r="I1436" s="79"/>
      <c r="J1436" s="79"/>
    </row>
    <row r="1437" spans="8:10" x14ac:dyDescent="0.2">
      <c r="H1437" s="79"/>
      <c r="I1437" s="79"/>
      <c r="J1437" s="79"/>
    </row>
    <row r="1438" spans="8:10" x14ac:dyDescent="0.2">
      <c r="H1438" s="79"/>
      <c r="I1438" s="79"/>
      <c r="J1438" s="79"/>
    </row>
    <row r="1439" spans="8:10" x14ac:dyDescent="0.2">
      <c r="H1439" s="79"/>
      <c r="I1439" s="79"/>
      <c r="J1439" s="79"/>
    </row>
    <row r="1440" spans="8:10" x14ac:dyDescent="0.2">
      <c r="H1440" s="79"/>
      <c r="I1440" s="79"/>
      <c r="J1440" s="79"/>
    </row>
    <row r="1441" spans="8:10" x14ac:dyDescent="0.2">
      <c r="H1441" s="79"/>
      <c r="I1441" s="79"/>
      <c r="J1441" s="79"/>
    </row>
    <row r="1442" spans="8:10" x14ac:dyDescent="0.2">
      <c r="H1442" s="79"/>
      <c r="I1442" s="79"/>
      <c r="J1442" s="79"/>
    </row>
    <row r="1443" spans="8:10" x14ac:dyDescent="0.2">
      <c r="H1443" s="79"/>
      <c r="I1443" s="79"/>
      <c r="J1443" s="79"/>
    </row>
    <row r="1444" spans="8:10" x14ac:dyDescent="0.2">
      <c r="H1444" s="79"/>
      <c r="I1444" s="79"/>
      <c r="J1444" s="79"/>
    </row>
    <row r="1445" spans="8:10" x14ac:dyDescent="0.2">
      <c r="H1445" s="79"/>
      <c r="I1445" s="79"/>
      <c r="J1445" s="79"/>
    </row>
    <row r="1446" spans="8:10" x14ac:dyDescent="0.2">
      <c r="H1446" s="79"/>
      <c r="I1446" s="79"/>
      <c r="J1446" s="79"/>
    </row>
    <row r="1447" spans="8:10" x14ac:dyDescent="0.2">
      <c r="H1447" s="79"/>
      <c r="I1447" s="79"/>
      <c r="J1447" s="79"/>
    </row>
    <row r="1448" spans="8:10" x14ac:dyDescent="0.2">
      <c r="H1448" s="79"/>
      <c r="I1448" s="79"/>
      <c r="J1448" s="79"/>
    </row>
    <row r="1449" spans="8:10" x14ac:dyDescent="0.2">
      <c r="H1449" s="79"/>
      <c r="I1449" s="79"/>
      <c r="J1449" s="79"/>
    </row>
    <row r="1450" spans="8:10" x14ac:dyDescent="0.2">
      <c r="H1450" s="79"/>
      <c r="I1450" s="79"/>
      <c r="J1450" s="79"/>
    </row>
    <row r="1451" spans="8:10" x14ac:dyDescent="0.2">
      <c r="H1451" s="79"/>
      <c r="I1451" s="79"/>
      <c r="J1451" s="79"/>
    </row>
    <row r="1452" spans="8:10" x14ac:dyDescent="0.2">
      <c r="H1452" s="79"/>
      <c r="I1452" s="79"/>
      <c r="J1452" s="79"/>
    </row>
    <row r="1453" spans="8:10" x14ac:dyDescent="0.2">
      <c r="H1453" s="79"/>
      <c r="I1453" s="79"/>
      <c r="J1453" s="79"/>
    </row>
    <row r="1454" spans="8:10" x14ac:dyDescent="0.2">
      <c r="H1454" s="79"/>
      <c r="I1454" s="79"/>
      <c r="J1454" s="79"/>
    </row>
    <row r="1455" spans="8:10" x14ac:dyDescent="0.2">
      <c r="H1455" s="79"/>
      <c r="I1455" s="79"/>
      <c r="J1455" s="79"/>
    </row>
    <row r="1456" spans="8:10" x14ac:dyDescent="0.2">
      <c r="H1456" s="79"/>
      <c r="I1456" s="79"/>
      <c r="J1456" s="79"/>
    </row>
    <row r="1457" spans="8:10" x14ac:dyDescent="0.2">
      <c r="H1457" s="79"/>
      <c r="I1457" s="79"/>
      <c r="J1457" s="79"/>
    </row>
    <row r="1458" spans="8:10" x14ac:dyDescent="0.2">
      <c r="H1458" s="79"/>
      <c r="I1458" s="79"/>
      <c r="J1458" s="79"/>
    </row>
    <row r="1459" spans="8:10" x14ac:dyDescent="0.2">
      <c r="H1459" s="79"/>
      <c r="I1459" s="79"/>
      <c r="J1459" s="79"/>
    </row>
    <row r="1460" spans="8:10" x14ac:dyDescent="0.2">
      <c r="H1460" s="79"/>
      <c r="I1460" s="79"/>
      <c r="J1460" s="79"/>
    </row>
    <row r="1461" spans="8:10" x14ac:dyDescent="0.2">
      <c r="H1461" s="79"/>
      <c r="I1461" s="79"/>
      <c r="J1461" s="79"/>
    </row>
    <row r="1462" spans="8:10" x14ac:dyDescent="0.2">
      <c r="H1462" s="79"/>
      <c r="I1462" s="79"/>
      <c r="J1462" s="79"/>
    </row>
    <row r="1463" spans="8:10" x14ac:dyDescent="0.2">
      <c r="H1463" s="79"/>
      <c r="I1463" s="79"/>
      <c r="J1463" s="79"/>
    </row>
    <row r="1464" spans="8:10" x14ac:dyDescent="0.2">
      <c r="H1464" s="79"/>
      <c r="I1464" s="79"/>
      <c r="J1464" s="79"/>
    </row>
    <row r="1465" spans="8:10" x14ac:dyDescent="0.2">
      <c r="H1465" s="79"/>
      <c r="I1465" s="79"/>
      <c r="J1465" s="79"/>
    </row>
    <row r="1466" spans="8:10" x14ac:dyDescent="0.2">
      <c r="H1466" s="79"/>
      <c r="I1466" s="79"/>
      <c r="J1466" s="79"/>
    </row>
    <row r="1467" spans="8:10" x14ac:dyDescent="0.2">
      <c r="H1467" s="79"/>
      <c r="I1467" s="79"/>
      <c r="J1467" s="79"/>
    </row>
    <row r="1468" spans="8:10" x14ac:dyDescent="0.2">
      <c r="H1468" s="79"/>
      <c r="I1468" s="79"/>
      <c r="J1468" s="79"/>
    </row>
    <row r="1469" spans="8:10" x14ac:dyDescent="0.2">
      <c r="H1469" s="79"/>
      <c r="I1469" s="79"/>
      <c r="J1469" s="79"/>
    </row>
    <row r="1470" spans="8:10" x14ac:dyDescent="0.2">
      <c r="H1470" s="79"/>
      <c r="I1470" s="79"/>
      <c r="J1470" s="79"/>
    </row>
    <row r="1471" spans="8:10" x14ac:dyDescent="0.2">
      <c r="H1471" s="79"/>
      <c r="I1471" s="79"/>
      <c r="J1471" s="79"/>
    </row>
    <row r="1472" spans="8:10" x14ac:dyDescent="0.2">
      <c r="H1472" s="79"/>
      <c r="I1472" s="79"/>
      <c r="J1472" s="79"/>
    </row>
    <row r="1473" spans="8:10" x14ac:dyDescent="0.2">
      <c r="H1473" s="79"/>
      <c r="I1473" s="79"/>
      <c r="J1473" s="79"/>
    </row>
    <row r="1474" spans="8:10" x14ac:dyDescent="0.2">
      <c r="H1474" s="79"/>
      <c r="I1474" s="79"/>
      <c r="J1474" s="79"/>
    </row>
    <row r="1475" spans="8:10" x14ac:dyDescent="0.2">
      <c r="H1475" s="79"/>
      <c r="I1475" s="79"/>
      <c r="J1475" s="79"/>
    </row>
    <row r="1476" spans="8:10" x14ac:dyDescent="0.2">
      <c r="H1476" s="79"/>
      <c r="I1476" s="79"/>
      <c r="J1476" s="79"/>
    </row>
    <row r="1477" spans="8:10" x14ac:dyDescent="0.2">
      <c r="H1477" s="79"/>
      <c r="I1477" s="79"/>
      <c r="J1477" s="79"/>
    </row>
    <row r="1478" spans="8:10" x14ac:dyDescent="0.2">
      <c r="H1478" s="79"/>
      <c r="I1478" s="79"/>
      <c r="J1478" s="79"/>
    </row>
    <row r="1479" spans="8:10" x14ac:dyDescent="0.2">
      <c r="H1479" s="79"/>
      <c r="I1479" s="79"/>
      <c r="J1479" s="79"/>
    </row>
    <row r="1480" spans="8:10" x14ac:dyDescent="0.2">
      <c r="H1480" s="79"/>
      <c r="I1480" s="79"/>
      <c r="J1480" s="79"/>
    </row>
    <row r="1481" spans="8:10" x14ac:dyDescent="0.2">
      <c r="H1481" s="79"/>
      <c r="I1481" s="79"/>
      <c r="J1481" s="79"/>
    </row>
    <row r="1482" spans="8:10" x14ac:dyDescent="0.2">
      <c r="H1482" s="79"/>
      <c r="I1482" s="79"/>
      <c r="J1482" s="79"/>
    </row>
    <row r="1483" spans="8:10" x14ac:dyDescent="0.2">
      <c r="H1483" s="79"/>
      <c r="I1483" s="79"/>
      <c r="J1483" s="79"/>
    </row>
    <row r="1484" spans="8:10" x14ac:dyDescent="0.2">
      <c r="H1484" s="79"/>
      <c r="I1484" s="79"/>
      <c r="J1484" s="79"/>
    </row>
    <row r="1485" spans="8:10" x14ac:dyDescent="0.2">
      <c r="H1485" s="79"/>
      <c r="I1485" s="79"/>
      <c r="J1485" s="79"/>
    </row>
    <row r="1486" spans="8:10" x14ac:dyDescent="0.2">
      <c r="H1486" s="79"/>
      <c r="I1486" s="79"/>
      <c r="J1486" s="79"/>
    </row>
    <row r="1487" spans="8:10" x14ac:dyDescent="0.2">
      <c r="H1487" s="79"/>
      <c r="I1487" s="79"/>
      <c r="J1487" s="79"/>
    </row>
    <row r="1488" spans="8:10" x14ac:dyDescent="0.2">
      <c r="H1488" s="79"/>
      <c r="I1488" s="79"/>
      <c r="J1488" s="79"/>
    </row>
    <row r="1489" spans="8:10" x14ac:dyDescent="0.2">
      <c r="H1489" s="79"/>
      <c r="I1489" s="79"/>
      <c r="J1489" s="79"/>
    </row>
    <row r="1490" spans="8:10" x14ac:dyDescent="0.2">
      <c r="H1490" s="79"/>
      <c r="I1490" s="79"/>
      <c r="J1490" s="79"/>
    </row>
    <row r="1491" spans="8:10" x14ac:dyDescent="0.2">
      <c r="H1491" s="79"/>
      <c r="I1491" s="79"/>
      <c r="J1491" s="79"/>
    </row>
    <row r="1492" spans="8:10" x14ac:dyDescent="0.2">
      <c r="H1492" s="79"/>
      <c r="I1492" s="79"/>
      <c r="J1492" s="79"/>
    </row>
    <row r="1493" spans="8:10" x14ac:dyDescent="0.2">
      <c r="H1493" s="79"/>
      <c r="I1493" s="79"/>
      <c r="J1493" s="79"/>
    </row>
    <row r="1494" spans="8:10" x14ac:dyDescent="0.2">
      <c r="H1494" s="79"/>
      <c r="I1494" s="79"/>
      <c r="J1494" s="79"/>
    </row>
    <row r="1495" spans="8:10" x14ac:dyDescent="0.2">
      <c r="H1495" s="79"/>
      <c r="I1495" s="79"/>
      <c r="J1495" s="79"/>
    </row>
    <row r="1496" spans="8:10" x14ac:dyDescent="0.2">
      <c r="H1496" s="79"/>
      <c r="I1496" s="79"/>
      <c r="J1496" s="79"/>
    </row>
    <row r="1497" spans="8:10" x14ac:dyDescent="0.2">
      <c r="H1497" s="79"/>
      <c r="I1497" s="79"/>
      <c r="J1497" s="79"/>
    </row>
    <row r="1498" spans="8:10" x14ac:dyDescent="0.2">
      <c r="H1498" s="79"/>
      <c r="I1498" s="79"/>
      <c r="J1498" s="79"/>
    </row>
    <row r="1499" spans="8:10" x14ac:dyDescent="0.2">
      <c r="H1499" s="79"/>
      <c r="I1499" s="79"/>
      <c r="J1499" s="79"/>
    </row>
    <row r="1500" spans="8:10" x14ac:dyDescent="0.2">
      <c r="H1500" s="79"/>
      <c r="I1500" s="79"/>
      <c r="J1500" s="79"/>
    </row>
    <row r="1501" spans="8:10" x14ac:dyDescent="0.2">
      <c r="H1501" s="79"/>
      <c r="I1501" s="79"/>
      <c r="J1501" s="79"/>
    </row>
    <row r="1502" spans="8:10" x14ac:dyDescent="0.2">
      <c r="H1502" s="79"/>
      <c r="I1502" s="79"/>
      <c r="J1502" s="79"/>
    </row>
    <row r="1503" spans="8:10" x14ac:dyDescent="0.2">
      <c r="H1503" s="79"/>
      <c r="I1503" s="79"/>
      <c r="J1503" s="79"/>
    </row>
    <row r="1504" spans="8:10" x14ac:dyDescent="0.2">
      <c r="H1504" s="79"/>
      <c r="I1504" s="79"/>
      <c r="J1504" s="79"/>
    </row>
    <row r="1505" spans="8:10" x14ac:dyDescent="0.2">
      <c r="H1505" s="79"/>
      <c r="I1505" s="79"/>
      <c r="J1505" s="79"/>
    </row>
    <row r="1506" spans="8:10" x14ac:dyDescent="0.2">
      <c r="H1506" s="79"/>
      <c r="I1506" s="79"/>
      <c r="J1506" s="79"/>
    </row>
    <row r="1507" spans="8:10" x14ac:dyDescent="0.2">
      <c r="H1507" s="79"/>
      <c r="I1507" s="79"/>
      <c r="J1507" s="79"/>
    </row>
    <row r="1508" spans="8:10" x14ac:dyDescent="0.2">
      <c r="H1508" s="79"/>
      <c r="I1508" s="79"/>
      <c r="J1508" s="79"/>
    </row>
    <row r="1509" spans="8:10" x14ac:dyDescent="0.2">
      <c r="H1509" s="79"/>
      <c r="I1509" s="79"/>
      <c r="J1509" s="79"/>
    </row>
    <row r="1510" spans="8:10" x14ac:dyDescent="0.2">
      <c r="H1510" s="79"/>
      <c r="I1510" s="79"/>
      <c r="J1510" s="79"/>
    </row>
    <row r="1511" spans="8:10" x14ac:dyDescent="0.2">
      <c r="H1511" s="79"/>
      <c r="I1511" s="79"/>
      <c r="J1511" s="79"/>
    </row>
    <row r="1512" spans="8:10" x14ac:dyDescent="0.2">
      <c r="H1512" s="79"/>
      <c r="I1512" s="79"/>
      <c r="J1512" s="79"/>
    </row>
    <row r="1513" spans="8:10" x14ac:dyDescent="0.2">
      <c r="H1513" s="79"/>
      <c r="I1513" s="79"/>
      <c r="J1513" s="79"/>
    </row>
    <row r="1514" spans="8:10" x14ac:dyDescent="0.2">
      <c r="H1514" s="79"/>
      <c r="I1514" s="79"/>
      <c r="J1514" s="79"/>
    </row>
    <row r="1515" spans="8:10" x14ac:dyDescent="0.2">
      <c r="H1515" s="79"/>
      <c r="I1515" s="79"/>
      <c r="J1515" s="79"/>
    </row>
    <row r="1516" spans="8:10" x14ac:dyDescent="0.2">
      <c r="H1516" s="79"/>
      <c r="I1516" s="79"/>
      <c r="J1516" s="79"/>
    </row>
    <row r="1517" spans="8:10" x14ac:dyDescent="0.2">
      <c r="H1517" s="79"/>
      <c r="I1517" s="79"/>
      <c r="J1517" s="79"/>
    </row>
    <row r="1518" spans="8:10" x14ac:dyDescent="0.2">
      <c r="H1518" s="79"/>
      <c r="I1518" s="79"/>
      <c r="J1518" s="79"/>
    </row>
    <row r="1519" spans="8:10" x14ac:dyDescent="0.2">
      <c r="H1519" s="79"/>
      <c r="I1519" s="79"/>
      <c r="J1519" s="79"/>
    </row>
    <row r="1520" spans="8:10" x14ac:dyDescent="0.2">
      <c r="H1520" s="79"/>
      <c r="I1520" s="79"/>
      <c r="J1520" s="79"/>
    </row>
    <row r="1521" spans="8:10" x14ac:dyDescent="0.2">
      <c r="H1521" s="79"/>
      <c r="I1521" s="79"/>
      <c r="J1521" s="79"/>
    </row>
    <row r="1522" spans="8:10" x14ac:dyDescent="0.2">
      <c r="H1522" s="79"/>
      <c r="I1522" s="79"/>
      <c r="J1522" s="79"/>
    </row>
    <row r="1523" spans="8:10" x14ac:dyDescent="0.2">
      <c r="H1523" s="79"/>
      <c r="I1523" s="79"/>
      <c r="J1523" s="79"/>
    </row>
    <row r="1524" spans="8:10" x14ac:dyDescent="0.2">
      <c r="H1524" s="79"/>
      <c r="I1524" s="79"/>
      <c r="J1524" s="79"/>
    </row>
    <row r="1525" spans="8:10" x14ac:dyDescent="0.2">
      <c r="H1525" s="79"/>
      <c r="I1525" s="79"/>
      <c r="J1525" s="79"/>
    </row>
    <row r="1526" spans="8:10" x14ac:dyDescent="0.2">
      <c r="H1526" s="79"/>
      <c r="I1526" s="79"/>
      <c r="J1526" s="79"/>
    </row>
    <row r="1527" spans="8:10" x14ac:dyDescent="0.2">
      <c r="H1527" s="79"/>
      <c r="I1527" s="79"/>
      <c r="J1527" s="79"/>
    </row>
    <row r="1528" spans="8:10" x14ac:dyDescent="0.2">
      <c r="H1528" s="79"/>
      <c r="I1528" s="79"/>
      <c r="J1528" s="79"/>
    </row>
    <row r="1529" spans="8:10" x14ac:dyDescent="0.2">
      <c r="H1529" s="79"/>
      <c r="I1529" s="79"/>
      <c r="J1529" s="79"/>
    </row>
    <row r="1530" spans="8:10" x14ac:dyDescent="0.2">
      <c r="H1530" s="79"/>
      <c r="I1530" s="79"/>
      <c r="J1530" s="79"/>
    </row>
    <row r="1531" spans="8:10" x14ac:dyDescent="0.2">
      <c r="H1531" s="79"/>
      <c r="I1531" s="79"/>
      <c r="J1531" s="79"/>
    </row>
    <row r="1532" spans="8:10" x14ac:dyDescent="0.2">
      <c r="H1532" s="79"/>
      <c r="I1532" s="79"/>
      <c r="J1532" s="79"/>
    </row>
    <row r="1533" spans="8:10" x14ac:dyDescent="0.2">
      <c r="H1533" s="79"/>
      <c r="I1533" s="79"/>
      <c r="J1533" s="79"/>
    </row>
    <row r="1534" spans="8:10" x14ac:dyDescent="0.2">
      <c r="H1534" s="79"/>
      <c r="I1534" s="79"/>
      <c r="J1534" s="79"/>
    </row>
    <row r="1535" spans="8:10" x14ac:dyDescent="0.2">
      <c r="H1535" s="79"/>
      <c r="I1535" s="79"/>
      <c r="J1535" s="79"/>
    </row>
    <row r="1536" spans="8:10" x14ac:dyDescent="0.2">
      <c r="H1536" s="79"/>
      <c r="I1536" s="79"/>
      <c r="J1536" s="79"/>
    </row>
    <row r="1537" spans="8:10" x14ac:dyDescent="0.2">
      <c r="H1537" s="79"/>
      <c r="I1537" s="79"/>
      <c r="J1537" s="79"/>
    </row>
    <row r="1538" spans="8:10" x14ac:dyDescent="0.2">
      <c r="H1538" s="79"/>
      <c r="I1538" s="79"/>
      <c r="J1538" s="79"/>
    </row>
    <row r="1539" spans="8:10" x14ac:dyDescent="0.2">
      <c r="H1539" s="79"/>
      <c r="I1539" s="79"/>
      <c r="J1539" s="79"/>
    </row>
    <row r="1540" spans="8:10" x14ac:dyDescent="0.2">
      <c r="H1540" s="79"/>
      <c r="I1540" s="79"/>
      <c r="J1540" s="79"/>
    </row>
    <row r="1541" spans="8:10" x14ac:dyDescent="0.2">
      <c r="H1541" s="79"/>
      <c r="I1541" s="79"/>
      <c r="J1541" s="79"/>
    </row>
    <row r="1542" spans="8:10" x14ac:dyDescent="0.2">
      <c r="H1542" s="79"/>
      <c r="I1542" s="79"/>
      <c r="J1542" s="79"/>
    </row>
    <row r="1543" spans="8:10" x14ac:dyDescent="0.2">
      <c r="H1543" s="79"/>
      <c r="I1543" s="79"/>
      <c r="J1543" s="79"/>
    </row>
    <row r="1544" spans="8:10" x14ac:dyDescent="0.2">
      <c r="H1544" s="79"/>
      <c r="I1544" s="79"/>
      <c r="J1544" s="79"/>
    </row>
    <row r="1545" spans="8:10" x14ac:dyDescent="0.2">
      <c r="H1545" s="79"/>
      <c r="I1545" s="79"/>
      <c r="J1545" s="79"/>
    </row>
    <row r="1546" spans="8:10" x14ac:dyDescent="0.2">
      <c r="H1546" s="79"/>
      <c r="I1546" s="79"/>
      <c r="J1546" s="79"/>
    </row>
    <row r="1547" spans="8:10" x14ac:dyDescent="0.2">
      <c r="H1547" s="79"/>
      <c r="I1547" s="79"/>
      <c r="J1547" s="79"/>
    </row>
    <row r="1548" spans="8:10" x14ac:dyDescent="0.2">
      <c r="H1548" s="79"/>
      <c r="I1548" s="79"/>
      <c r="J1548" s="79"/>
    </row>
    <row r="1549" spans="8:10" x14ac:dyDescent="0.2">
      <c r="H1549" s="79"/>
      <c r="I1549" s="79"/>
      <c r="J1549" s="79"/>
    </row>
    <row r="1550" spans="8:10" x14ac:dyDescent="0.2">
      <c r="H1550" s="79"/>
      <c r="I1550" s="79"/>
      <c r="J1550" s="79"/>
    </row>
    <row r="1551" spans="8:10" x14ac:dyDescent="0.2">
      <c r="H1551" s="79"/>
      <c r="I1551" s="79"/>
      <c r="J1551" s="79"/>
    </row>
    <row r="1552" spans="8:10" x14ac:dyDescent="0.2">
      <c r="H1552" s="79"/>
      <c r="I1552" s="79"/>
      <c r="J1552" s="79"/>
    </row>
    <row r="1553" spans="8:10" x14ac:dyDescent="0.2">
      <c r="H1553" s="79"/>
      <c r="I1553" s="79"/>
      <c r="J1553" s="79"/>
    </row>
    <row r="1554" spans="8:10" x14ac:dyDescent="0.2">
      <c r="H1554" s="79"/>
      <c r="I1554" s="79"/>
      <c r="J1554" s="79"/>
    </row>
    <row r="1555" spans="8:10" x14ac:dyDescent="0.2">
      <c r="H1555" s="79"/>
      <c r="I1555" s="79"/>
      <c r="J1555" s="79"/>
    </row>
    <row r="1556" spans="8:10" x14ac:dyDescent="0.2">
      <c r="H1556" s="79"/>
      <c r="I1556" s="79"/>
      <c r="J1556" s="79"/>
    </row>
    <row r="1557" spans="8:10" x14ac:dyDescent="0.2">
      <c r="H1557" s="79"/>
      <c r="I1557" s="79"/>
      <c r="J1557" s="79"/>
    </row>
    <row r="1558" spans="8:10" x14ac:dyDescent="0.2">
      <c r="H1558" s="79"/>
      <c r="I1558" s="79"/>
      <c r="J1558" s="79"/>
    </row>
    <row r="1559" spans="8:10" x14ac:dyDescent="0.2">
      <c r="H1559" s="79"/>
      <c r="I1559" s="79"/>
      <c r="J1559" s="79"/>
    </row>
    <row r="1560" spans="8:10" x14ac:dyDescent="0.2">
      <c r="H1560" s="79"/>
      <c r="I1560" s="79"/>
      <c r="J1560" s="79"/>
    </row>
    <row r="1561" spans="8:10" x14ac:dyDescent="0.2">
      <c r="H1561" s="79"/>
      <c r="I1561" s="79"/>
      <c r="J1561" s="79"/>
    </row>
    <row r="1562" spans="8:10" x14ac:dyDescent="0.2">
      <c r="H1562" s="79"/>
      <c r="I1562" s="79"/>
      <c r="J1562" s="79"/>
    </row>
    <row r="1563" spans="8:10" x14ac:dyDescent="0.2">
      <c r="H1563" s="79"/>
      <c r="I1563" s="79"/>
      <c r="J1563" s="79"/>
    </row>
    <row r="1564" spans="8:10" x14ac:dyDescent="0.2">
      <c r="H1564" s="79"/>
      <c r="I1564" s="79"/>
      <c r="J1564" s="79"/>
    </row>
    <row r="1565" spans="8:10" x14ac:dyDescent="0.2">
      <c r="H1565" s="79"/>
      <c r="I1565" s="79"/>
      <c r="J1565" s="79"/>
    </row>
    <row r="1566" spans="8:10" x14ac:dyDescent="0.2">
      <c r="H1566" s="79"/>
      <c r="I1566" s="79"/>
      <c r="J1566" s="79"/>
    </row>
  </sheetData>
  <mergeCells count="14">
    <mergeCell ref="H11:J11"/>
    <mergeCell ref="B594:G594"/>
    <mergeCell ref="B12:J12"/>
    <mergeCell ref="B13:J13"/>
    <mergeCell ref="B1:J1"/>
    <mergeCell ref="B2:J2"/>
    <mergeCell ref="B3:J3"/>
    <mergeCell ref="B4:J4"/>
    <mergeCell ref="B5:J5"/>
    <mergeCell ref="B6:J6"/>
    <mergeCell ref="B7:J7"/>
    <mergeCell ref="B8:J8"/>
    <mergeCell ref="B9:J9"/>
    <mergeCell ref="B10:J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4" fitToHeight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72"/>
  <sheetViews>
    <sheetView view="pageBreakPreview" topLeftCell="A766" zoomScaleNormal="100" workbookViewId="0">
      <pane xSplit="18690"/>
      <selection activeCell="A791" sqref="A791:E791"/>
      <selection pane="topRight" activeCell="A777" sqref="A754:A777"/>
    </sheetView>
  </sheetViews>
  <sheetFormatPr defaultRowHeight="12.75" x14ac:dyDescent="0.2"/>
  <cols>
    <col min="1" max="1" width="7.7109375" customWidth="1"/>
    <col min="2" max="2" width="5.85546875" customWidth="1"/>
    <col min="3" max="3" width="7.7109375" customWidth="1"/>
    <col min="4" max="4" width="6.28515625" customWidth="1"/>
    <col min="5" max="5" width="50.85546875" customWidth="1"/>
    <col min="6" max="6" width="15.140625" style="24" hidden="1" customWidth="1"/>
    <col min="7" max="7" width="14.28515625" style="25" hidden="1" customWidth="1"/>
    <col min="8" max="8" width="15.140625" style="25" hidden="1" customWidth="1"/>
    <col min="9" max="9" width="15.42578125" style="54" customWidth="1"/>
    <col min="10" max="10" width="16.28515625" style="25" customWidth="1"/>
    <col min="11" max="11" width="16.85546875" style="25" customWidth="1"/>
    <col min="12" max="12" width="13.85546875" style="8" customWidth="1"/>
    <col min="13" max="13" width="13.42578125" style="8" customWidth="1"/>
    <col min="14" max="14" width="10.85546875" style="8" customWidth="1"/>
    <col min="15" max="15" width="13.140625" style="8" customWidth="1"/>
    <col min="16" max="26" width="9.140625" style="8"/>
  </cols>
  <sheetData>
    <row r="1" spans="1:12" ht="15" x14ac:dyDescent="0.25">
      <c r="A1" s="127" t="s">
        <v>373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5" x14ac:dyDescent="0.25">
      <c r="A2" s="127" t="s">
        <v>374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5" x14ac:dyDescent="0.25">
      <c r="A3" s="127" t="s">
        <v>276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15" customHeight="1" x14ac:dyDescent="0.25">
      <c r="A4" s="128" t="s">
        <v>375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23.25" customHeight="1" x14ac:dyDescent="0.2">
      <c r="A5" s="130" t="s">
        <v>55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2" ht="27" customHeight="1" x14ac:dyDescent="0.2">
      <c r="A6" s="131" t="s">
        <v>407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2" ht="30" customHeight="1" x14ac:dyDescent="0.2">
      <c r="A7" s="1" t="s">
        <v>447</v>
      </c>
      <c r="B7" s="1" t="s">
        <v>448</v>
      </c>
      <c r="C7" s="1" t="s">
        <v>449</v>
      </c>
      <c r="D7" s="1" t="s">
        <v>450</v>
      </c>
      <c r="E7" s="1" t="s">
        <v>451</v>
      </c>
      <c r="F7" s="14" t="s">
        <v>57</v>
      </c>
      <c r="G7" s="12" t="s">
        <v>60</v>
      </c>
      <c r="H7" s="12" t="s">
        <v>68</v>
      </c>
      <c r="I7" s="12" t="s">
        <v>408</v>
      </c>
      <c r="J7" s="12" t="s">
        <v>409</v>
      </c>
      <c r="K7" s="12" t="s">
        <v>410</v>
      </c>
      <c r="L7" s="61" t="s">
        <v>411</v>
      </c>
    </row>
    <row r="8" spans="1:12" ht="15.95" customHeight="1" x14ac:dyDescent="0.2">
      <c r="A8" s="4" t="s">
        <v>452</v>
      </c>
      <c r="B8" s="4" t="s">
        <v>453</v>
      </c>
      <c r="C8" s="4" t="s">
        <v>454</v>
      </c>
      <c r="D8" s="4" t="s">
        <v>455</v>
      </c>
      <c r="E8" s="4" t="s">
        <v>456</v>
      </c>
      <c r="F8" s="14" t="s">
        <v>457</v>
      </c>
      <c r="G8" s="12" t="s">
        <v>457</v>
      </c>
      <c r="H8" s="12" t="s">
        <v>56</v>
      </c>
      <c r="I8" s="56" t="s">
        <v>457</v>
      </c>
      <c r="J8" s="4" t="s">
        <v>56</v>
      </c>
      <c r="K8" s="4" t="s">
        <v>80</v>
      </c>
      <c r="L8" s="4" t="s">
        <v>412</v>
      </c>
    </row>
    <row r="9" spans="1:12" ht="24" customHeight="1" x14ac:dyDescent="0.2">
      <c r="A9" s="1" t="s">
        <v>458</v>
      </c>
      <c r="B9" s="7"/>
      <c r="C9" s="7"/>
      <c r="D9" s="7"/>
      <c r="E9" s="28" t="s">
        <v>459</v>
      </c>
      <c r="F9" s="14">
        <f>F10+F13+F18+F42+F47+F64+F77+F80+F83+F88+F131+F168+F178</f>
        <v>31259846</v>
      </c>
      <c r="G9" s="12">
        <f>G10+G13+G18+G42+G47+G64+G77+G80+G83+G88+G131+G168+G178</f>
        <v>4561151</v>
      </c>
      <c r="H9" s="12">
        <f>H10+H13+H18+H42+H47+H64+H77+H80+H83+H88+H131+H168+H178</f>
        <v>16243512</v>
      </c>
      <c r="I9" s="38">
        <f>I10+I13+I18+I39+I42+I47+I64+I77+I80+I88+I110+I131+I140+I145+I148+I151+I156+I163+I168+I173+I178+I201</f>
        <v>36513094.049999997</v>
      </c>
      <c r="J9" s="38">
        <f t="shared" ref="J9:J72" si="0">K9-I9</f>
        <v>7451955.950000003</v>
      </c>
      <c r="K9" s="38">
        <f>K10+K13+K18+K39+K42+K47+K64+K77+K80+K88+K110+K131+K140+K145+K148+K151+K156+K163+K168+K173+K178+K201</f>
        <v>43965050</v>
      </c>
      <c r="L9" s="38">
        <f>L10+L13+L18+L39+L42+L47+L64+L77+L80+L88+L110+L131+L140+L145+L148+L151+L156+L163+L168+L173+L178+L201</f>
        <v>55765189</v>
      </c>
    </row>
    <row r="10" spans="1:12" ht="21.75" customHeight="1" x14ac:dyDescent="0.2">
      <c r="A10" s="3" t="s">
        <v>458</v>
      </c>
      <c r="B10" s="3" t="s">
        <v>460</v>
      </c>
      <c r="C10" s="2"/>
      <c r="D10" s="2"/>
      <c r="E10" s="5" t="s">
        <v>461</v>
      </c>
      <c r="F10" s="15">
        <f t="shared" ref="F10:I11" si="1">F11</f>
        <v>945000</v>
      </c>
      <c r="G10" s="13">
        <f t="shared" si="1"/>
        <v>411327</v>
      </c>
      <c r="H10" s="13">
        <f t="shared" si="1"/>
        <v>1356327</v>
      </c>
      <c r="I10" s="39">
        <f t="shared" si="1"/>
        <v>1047028</v>
      </c>
      <c r="J10" s="39">
        <f t="shared" si="0"/>
        <v>-46028</v>
      </c>
      <c r="K10" s="39">
        <f>K11</f>
        <v>1001000</v>
      </c>
      <c r="L10" s="39">
        <f>L11</f>
        <v>1001000</v>
      </c>
    </row>
    <row r="11" spans="1:12" ht="15" customHeight="1" x14ac:dyDescent="0.2">
      <c r="A11" s="3" t="s">
        <v>458</v>
      </c>
      <c r="B11" s="3" t="s">
        <v>460</v>
      </c>
      <c r="C11" s="3" t="s">
        <v>462</v>
      </c>
      <c r="D11" s="2"/>
      <c r="E11" s="5" t="s">
        <v>463</v>
      </c>
      <c r="F11" s="15">
        <f t="shared" si="1"/>
        <v>945000</v>
      </c>
      <c r="G11" s="13">
        <f t="shared" si="1"/>
        <v>411327</v>
      </c>
      <c r="H11" s="13">
        <f t="shared" si="1"/>
        <v>1356327</v>
      </c>
      <c r="I11" s="39">
        <f t="shared" si="1"/>
        <v>1047028</v>
      </c>
      <c r="J11" s="39">
        <f t="shared" si="0"/>
        <v>-46028</v>
      </c>
      <c r="K11" s="39">
        <f>K12</f>
        <v>1001000</v>
      </c>
      <c r="L11" s="39">
        <f>L12</f>
        <v>1001000</v>
      </c>
    </row>
    <row r="12" spans="1:12" ht="17.100000000000001" customHeight="1" x14ac:dyDescent="0.2">
      <c r="A12" s="3" t="s">
        <v>458</v>
      </c>
      <c r="B12" s="3" t="s">
        <v>460</v>
      </c>
      <c r="C12" s="3" t="s">
        <v>462</v>
      </c>
      <c r="D12" s="3" t="s">
        <v>464</v>
      </c>
      <c r="E12" s="5" t="s">
        <v>465</v>
      </c>
      <c r="F12" s="16">
        <v>945000</v>
      </c>
      <c r="G12" s="17">
        <v>411327</v>
      </c>
      <c r="H12" s="17">
        <v>1356327</v>
      </c>
      <c r="I12" s="40">
        <v>1047028</v>
      </c>
      <c r="J12" s="39">
        <f t="shared" si="0"/>
        <v>-46028</v>
      </c>
      <c r="K12" s="40">
        <v>1001000</v>
      </c>
      <c r="L12" s="40">
        <v>1001000</v>
      </c>
    </row>
    <row r="13" spans="1:12" ht="33.75" customHeight="1" x14ac:dyDescent="0.2">
      <c r="A13" s="3" t="s">
        <v>458</v>
      </c>
      <c r="B13" s="3" t="s">
        <v>466</v>
      </c>
      <c r="C13" s="2"/>
      <c r="D13" s="2"/>
      <c r="E13" s="5" t="s">
        <v>467</v>
      </c>
      <c r="F13" s="15">
        <f>F14+F16</f>
        <v>1049000</v>
      </c>
      <c r="G13" s="13">
        <f>G14+G16</f>
        <v>411327</v>
      </c>
      <c r="H13" s="13">
        <f>H14+H16</f>
        <v>1356327</v>
      </c>
      <c r="I13" s="39">
        <f>I14+I16</f>
        <v>1151028</v>
      </c>
      <c r="J13" s="39">
        <f t="shared" si="0"/>
        <v>-46028</v>
      </c>
      <c r="K13" s="39">
        <f>K14+K16</f>
        <v>1105000</v>
      </c>
      <c r="L13" s="39">
        <f>L14+L16</f>
        <v>1105000</v>
      </c>
    </row>
    <row r="14" spans="1:12" ht="23.25" customHeight="1" x14ac:dyDescent="0.2">
      <c r="A14" s="3" t="s">
        <v>458</v>
      </c>
      <c r="B14" s="3" t="s">
        <v>466</v>
      </c>
      <c r="C14" s="3" t="s">
        <v>468</v>
      </c>
      <c r="D14" s="2"/>
      <c r="E14" s="5" t="s">
        <v>469</v>
      </c>
      <c r="F14" s="15">
        <f>F15</f>
        <v>945000</v>
      </c>
      <c r="G14" s="13">
        <f>G15</f>
        <v>411327</v>
      </c>
      <c r="H14" s="13">
        <f>H15</f>
        <v>1356327</v>
      </c>
      <c r="I14" s="39">
        <f>I15</f>
        <v>1047028</v>
      </c>
      <c r="J14" s="39">
        <f t="shared" si="0"/>
        <v>-46028</v>
      </c>
      <c r="K14" s="39">
        <f>K15</f>
        <v>1001000</v>
      </c>
      <c r="L14" s="39">
        <f>L15</f>
        <v>1001000</v>
      </c>
    </row>
    <row r="15" spans="1:12" ht="17.100000000000001" customHeight="1" x14ac:dyDescent="0.2">
      <c r="A15" s="3" t="s">
        <v>458</v>
      </c>
      <c r="B15" s="3" t="s">
        <v>466</v>
      </c>
      <c r="C15" s="3" t="s">
        <v>468</v>
      </c>
      <c r="D15" s="3" t="s">
        <v>464</v>
      </c>
      <c r="E15" s="5" t="s">
        <v>465</v>
      </c>
      <c r="F15" s="16">
        <v>945000</v>
      </c>
      <c r="G15" s="17">
        <f>H15-F15</f>
        <v>411327</v>
      </c>
      <c r="H15" s="17">
        <v>1356327</v>
      </c>
      <c r="I15" s="40">
        <v>1047028</v>
      </c>
      <c r="J15" s="39">
        <f t="shared" si="0"/>
        <v>-46028</v>
      </c>
      <c r="K15" s="40">
        <v>1001000</v>
      </c>
      <c r="L15" s="40">
        <v>1001000</v>
      </c>
    </row>
    <row r="16" spans="1:12" ht="16.5" customHeight="1" x14ac:dyDescent="0.2">
      <c r="A16" s="3" t="s">
        <v>458</v>
      </c>
      <c r="B16" s="3" t="s">
        <v>466</v>
      </c>
      <c r="C16" s="3" t="s">
        <v>470</v>
      </c>
      <c r="D16" s="2"/>
      <c r="E16" s="5" t="s">
        <v>471</v>
      </c>
      <c r="F16" s="15">
        <f>F17</f>
        <v>104000</v>
      </c>
      <c r="G16" s="13">
        <f>G17</f>
        <v>0</v>
      </c>
      <c r="H16" s="13">
        <f>H17</f>
        <v>0</v>
      </c>
      <c r="I16" s="39">
        <f>I17</f>
        <v>104000</v>
      </c>
      <c r="J16" s="39">
        <f t="shared" si="0"/>
        <v>0</v>
      </c>
      <c r="K16" s="39">
        <f>K17</f>
        <v>104000</v>
      </c>
      <c r="L16" s="39">
        <f>L17</f>
        <v>104000</v>
      </c>
    </row>
    <row r="17" spans="1:12" ht="17.100000000000001" customHeight="1" x14ac:dyDescent="0.2">
      <c r="A17" s="3" t="s">
        <v>458</v>
      </c>
      <c r="B17" s="3" t="s">
        <v>466</v>
      </c>
      <c r="C17" s="3" t="s">
        <v>470</v>
      </c>
      <c r="D17" s="3" t="s">
        <v>464</v>
      </c>
      <c r="E17" s="5" t="s">
        <v>465</v>
      </c>
      <c r="F17" s="16">
        <v>104000</v>
      </c>
      <c r="G17" s="17"/>
      <c r="H17" s="17"/>
      <c r="I17" s="40">
        <v>104000</v>
      </c>
      <c r="J17" s="39">
        <f t="shared" si="0"/>
        <v>0</v>
      </c>
      <c r="K17" s="40">
        <v>104000</v>
      </c>
      <c r="L17" s="40">
        <v>104000</v>
      </c>
    </row>
    <row r="18" spans="1:12" ht="39" customHeight="1" x14ac:dyDescent="0.2">
      <c r="A18" s="3" t="s">
        <v>458</v>
      </c>
      <c r="B18" s="3" t="s">
        <v>472</v>
      </c>
      <c r="C18" s="2"/>
      <c r="D18" s="2"/>
      <c r="E18" s="5" t="s">
        <v>473</v>
      </c>
      <c r="F18" s="15">
        <f>F19+F21+F25+F27+F29+F31</f>
        <v>17286543</v>
      </c>
      <c r="G18" s="13">
        <f>G19+G21+G25+G27+G29+G31</f>
        <v>1843552</v>
      </c>
      <c r="H18" s="13">
        <f>H19+H21+H25+H27+H29+H31</f>
        <v>9449591</v>
      </c>
      <c r="I18" s="39">
        <f>I19+I21+I25+I27+I29+I31+I23+I33+I35+I37</f>
        <v>15631968.699999999</v>
      </c>
      <c r="J18" s="39">
        <f t="shared" si="0"/>
        <v>-3306781.6999999993</v>
      </c>
      <c r="K18" s="39">
        <f>K19+K21+K25+K27+K29+K31+K23+K33+K35+K37</f>
        <v>12325187</v>
      </c>
      <c r="L18" s="39">
        <f>L19+L21+L25+L27+L29+L31+L23+L33+L35+L37</f>
        <v>16332187</v>
      </c>
    </row>
    <row r="19" spans="1:12" ht="20.25" hidden="1" customHeight="1" x14ac:dyDescent="0.2">
      <c r="A19" s="3" t="s">
        <v>458</v>
      </c>
      <c r="B19" s="3" t="s">
        <v>472</v>
      </c>
      <c r="C19" s="3" t="s">
        <v>474</v>
      </c>
      <c r="D19" s="2"/>
      <c r="E19" s="5" t="s">
        <v>475</v>
      </c>
      <c r="F19" s="15">
        <f>F20</f>
        <v>55100</v>
      </c>
      <c r="G19" s="13">
        <f>G20</f>
        <v>-55100</v>
      </c>
      <c r="H19" s="13">
        <f>H20</f>
        <v>0</v>
      </c>
      <c r="I19" s="39">
        <f>I20</f>
        <v>0</v>
      </c>
      <c r="J19" s="39">
        <f t="shared" si="0"/>
        <v>0</v>
      </c>
      <c r="K19" s="39">
        <f>K20</f>
        <v>0</v>
      </c>
      <c r="L19" s="39">
        <f>L20</f>
        <v>0</v>
      </c>
    </row>
    <row r="20" spans="1:12" ht="17.100000000000001" hidden="1" customHeight="1" x14ac:dyDescent="0.2">
      <c r="A20" s="3" t="s">
        <v>458</v>
      </c>
      <c r="B20" s="3" t="s">
        <v>472</v>
      </c>
      <c r="C20" s="3" t="s">
        <v>474</v>
      </c>
      <c r="D20" s="3" t="s">
        <v>476</v>
      </c>
      <c r="E20" s="5" t="s">
        <v>477</v>
      </c>
      <c r="F20" s="16">
        <v>55100</v>
      </c>
      <c r="G20" s="17">
        <v>-55100</v>
      </c>
      <c r="H20" s="17"/>
      <c r="I20" s="40">
        <v>0</v>
      </c>
      <c r="J20" s="39">
        <f t="shared" si="0"/>
        <v>0</v>
      </c>
      <c r="K20" s="40">
        <v>0</v>
      </c>
      <c r="L20" s="40">
        <v>0</v>
      </c>
    </row>
    <row r="21" spans="1:12" ht="34.5" customHeight="1" x14ac:dyDescent="0.2">
      <c r="A21" s="3" t="s">
        <v>458</v>
      </c>
      <c r="B21" s="3" t="s">
        <v>472</v>
      </c>
      <c r="C21" s="3" t="s">
        <v>478</v>
      </c>
      <c r="D21" s="2"/>
      <c r="E21" s="5" t="s">
        <v>479</v>
      </c>
      <c r="F21" s="18">
        <f>F22</f>
        <v>727700</v>
      </c>
      <c r="G21" s="19">
        <f>G22</f>
        <v>192300</v>
      </c>
      <c r="H21" s="19">
        <f>H22</f>
        <v>0</v>
      </c>
      <c r="I21" s="41">
        <f>I22</f>
        <v>642000</v>
      </c>
      <c r="J21" s="39">
        <f t="shared" si="0"/>
        <v>-89000</v>
      </c>
      <c r="K21" s="41">
        <f>K22</f>
        <v>553000</v>
      </c>
      <c r="L21" s="41">
        <f>L22</f>
        <v>560000</v>
      </c>
    </row>
    <row r="22" spans="1:12" ht="17.100000000000001" customHeight="1" x14ac:dyDescent="0.2">
      <c r="A22" s="3" t="s">
        <v>458</v>
      </c>
      <c r="B22" s="3" t="s">
        <v>472</v>
      </c>
      <c r="C22" s="3" t="s">
        <v>478</v>
      </c>
      <c r="D22" s="3" t="s">
        <v>464</v>
      </c>
      <c r="E22" s="5" t="s">
        <v>465</v>
      </c>
      <c r="F22" s="18">
        <v>727700</v>
      </c>
      <c r="G22" s="17">
        <v>192300</v>
      </c>
      <c r="H22" s="17"/>
      <c r="I22" s="40">
        <v>642000</v>
      </c>
      <c r="J22" s="39">
        <f t="shared" si="0"/>
        <v>-89000</v>
      </c>
      <c r="K22" s="40">
        <v>553000</v>
      </c>
      <c r="L22" s="40">
        <v>560000</v>
      </c>
    </row>
    <row r="23" spans="1:12" ht="38.25" customHeight="1" x14ac:dyDescent="0.2">
      <c r="A23" s="3" t="s">
        <v>458</v>
      </c>
      <c r="B23" s="3" t="s">
        <v>472</v>
      </c>
      <c r="C23" s="3" t="s">
        <v>81</v>
      </c>
      <c r="D23" s="3"/>
      <c r="E23" s="5" t="s">
        <v>203</v>
      </c>
      <c r="F23" s="32"/>
      <c r="G23" s="32"/>
      <c r="H23" s="32"/>
      <c r="I23" s="41">
        <f>I24</f>
        <v>63026.7</v>
      </c>
      <c r="J23" s="39">
        <f t="shared" si="0"/>
        <v>28377.300000000003</v>
      </c>
      <c r="K23" s="41">
        <f>K24</f>
        <v>91404</v>
      </c>
      <c r="L23" s="41">
        <f>L24</f>
        <v>91404</v>
      </c>
    </row>
    <row r="24" spans="1:12" ht="17.100000000000001" customHeight="1" x14ac:dyDescent="0.2">
      <c r="A24" s="3" t="s">
        <v>458</v>
      </c>
      <c r="B24" s="3" t="s">
        <v>472</v>
      </c>
      <c r="C24" s="3" t="s">
        <v>81</v>
      </c>
      <c r="D24" s="3" t="s">
        <v>464</v>
      </c>
      <c r="E24" s="31" t="s">
        <v>465</v>
      </c>
      <c r="F24" s="32"/>
      <c r="G24" s="32"/>
      <c r="H24" s="32"/>
      <c r="I24" s="41">
        <v>63026.7</v>
      </c>
      <c r="J24" s="39">
        <f t="shared" si="0"/>
        <v>28377.300000000003</v>
      </c>
      <c r="K24" s="41">
        <v>91404</v>
      </c>
      <c r="L24" s="41">
        <v>91404</v>
      </c>
    </row>
    <row r="25" spans="1:12" ht="30" customHeight="1" x14ac:dyDescent="0.2">
      <c r="A25" s="3" t="s">
        <v>458</v>
      </c>
      <c r="B25" s="3" t="s">
        <v>472</v>
      </c>
      <c r="C25" s="3" t="s">
        <v>480</v>
      </c>
      <c r="D25" s="2"/>
      <c r="E25" s="5" t="s">
        <v>481</v>
      </c>
      <c r="F25" s="18">
        <f>F26</f>
        <v>300</v>
      </c>
      <c r="G25" s="19">
        <f>G26</f>
        <v>0</v>
      </c>
      <c r="H25" s="19">
        <f>H26</f>
        <v>0</v>
      </c>
      <c r="I25" s="41">
        <f>I26</f>
        <v>300</v>
      </c>
      <c r="J25" s="39">
        <f t="shared" si="0"/>
        <v>0</v>
      </c>
      <c r="K25" s="41">
        <f>K26</f>
        <v>300</v>
      </c>
      <c r="L25" s="41">
        <f>L26</f>
        <v>300</v>
      </c>
    </row>
    <row r="26" spans="1:12" ht="17.100000000000001" customHeight="1" x14ac:dyDescent="0.2">
      <c r="A26" s="3" t="s">
        <v>458</v>
      </c>
      <c r="B26" s="3" t="s">
        <v>472</v>
      </c>
      <c r="C26" s="3" t="s">
        <v>480</v>
      </c>
      <c r="D26" s="3" t="s">
        <v>482</v>
      </c>
      <c r="E26" s="5" t="s">
        <v>483</v>
      </c>
      <c r="F26" s="18">
        <v>300</v>
      </c>
      <c r="G26" s="17">
        <v>0</v>
      </c>
      <c r="H26" s="17">
        <v>0</v>
      </c>
      <c r="I26" s="40">
        <v>300</v>
      </c>
      <c r="J26" s="39">
        <f t="shared" si="0"/>
        <v>0</v>
      </c>
      <c r="K26" s="40">
        <v>300</v>
      </c>
      <c r="L26" s="40">
        <v>300</v>
      </c>
    </row>
    <row r="27" spans="1:12" ht="13.5" customHeight="1" x14ac:dyDescent="0.2">
      <c r="A27" s="3" t="s">
        <v>458</v>
      </c>
      <c r="B27" s="3" t="s">
        <v>472</v>
      </c>
      <c r="C27" s="3" t="s">
        <v>484</v>
      </c>
      <c r="D27" s="2"/>
      <c r="E27" s="5" t="s">
        <v>485</v>
      </c>
      <c r="F27" s="16">
        <f>F28</f>
        <v>15710194</v>
      </c>
      <c r="G27" s="19">
        <f>G28</f>
        <v>810695</v>
      </c>
      <c r="H27" s="19">
        <f>H28</f>
        <v>9449591</v>
      </c>
      <c r="I27" s="41">
        <f>I28</f>
        <v>10014628</v>
      </c>
      <c r="J27" s="39">
        <f t="shared" si="0"/>
        <v>-1779884</v>
      </c>
      <c r="K27" s="41">
        <f>K28</f>
        <v>8234744</v>
      </c>
      <c r="L27" s="41">
        <f>L28</f>
        <v>12234744</v>
      </c>
    </row>
    <row r="28" spans="1:12" ht="17.100000000000001" customHeight="1" x14ac:dyDescent="0.2">
      <c r="A28" s="3" t="s">
        <v>458</v>
      </c>
      <c r="B28" s="3" t="s">
        <v>472</v>
      </c>
      <c r="C28" s="3" t="s">
        <v>484</v>
      </c>
      <c r="D28" s="3" t="s">
        <v>464</v>
      </c>
      <c r="E28" s="5" t="s">
        <v>465</v>
      </c>
      <c r="F28" s="16">
        <v>15710194</v>
      </c>
      <c r="G28" s="17">
        <f>871591-60896</f>
        <v>810695</v>
      </c>
      <c r="H28" s="17">
        <v>9449591</v>
      </c>
      <c r="I28" s="40">
        <v>10014628</v>
      </c>
      <c r="J28" s="39">
        <f t="shared" si="0"/>
        <v>-1779884</v>
      </c>
      <c r="K28" s="40">
        <v>8234744</v>
      </c>
      <c r="L28" s="40">
        <v>12234744</v>
      </c>
    </row>
    <row r="29" spans="1:12" ht="31.5" x14ac:dyDescent="0.2">
      <c r="A29" s="3" t="s">
        <v>458</v>
      </c>
      <c r="B29" s="3" t="s">
        <v>472</v>
      </c>
      <c r="C29" s="3" t="s">
        <v>486</v>
      </c>
      <c r="D29" s="2"/>
      <c r="E29" s="5" t="s">
        <v>204</v>
      </c>
      <c r="F29" s="20">
        <f>F30</f>
        <v>202349</v>
      </c>
      <c r="G29" s="19">
        <f>G30</f>
        <v>135402</v>
      </c>
      <c r="H29" s="19">
        <f>H30</f>
        <v>0</v>
      </c>
      <c r="I29" s="41">
        <f>I30</f>
        <v>354641</v>
      </c>
      <c r="J29" s="39">
        <f t="shared" si="0"/>
        <v>-354641</v>
      </c>
      <c r="K29" s="41">
        <f>K30</f>
        <v>0</v>
      </c>
      <c r="L29" s="41">
        <f>L30</f>
        <v>0</v>
      </c>
    </row>
    <row r="30" spans="1:12" ht="17.100000000000001" customHeight="1" x14ac:dyDescent="0.2">
      <c r="A30" s="3" t="s">
        <v>458</v>
      </c>
      <c r="B30" s="3" t="s">
        <v>472</v>
      </c>
      <c r="C30" s="3" t="s">
        <v>486</v>
      </c>
      <c r="D30" s="3" t="s">
        <v>464</v>
      </c>
      <c r="E30" s="5" t="s">
        <v>465</v>
      </c>
      <c r="F30" s="20">
        <v>202349</v>
      </c>
      <c r="G30" s="17">
        <v>135402</v>
      </c>
      <c r="H30" s="17"/>
      <c r="I30" s="40">
        <v>354641</v>
      </c>
      <c r="J30" s="39">
        <f t="shared" si="0"/>
        <v>-354641</v>
      </c>
      <c r="K30" s="40">
        <v>0</v>
      </c>
      <c r="L30" s="40">
        <v>0</v>
      </c>
    </row>
    <row r="31" spans="1:12" ht="17.100000000000001" customHeight="1" x14ac:dyDescent="0.2">
      <c r="A31" s="3" t="s">
        <v>458</v>
      </c>
      <c r="B31" s="3" t="s">
        <v>472</v>
      </c>
      <c r="C31" s="3" t="s">
        <v>487</v>
      </c>
      <c r="D31" s="2"/>
      <c r="E31" s="5" t="s">
        <v>205</v>
      </c>
      <c r="F31" s="18">
        <f>F32</f>
        <v>590900</v>
      </c>
      <c r="G31" s="19">
        <f>G32</f>
        <v>760255</v>
      </c>
      <c r="H31" s="19">
        <f>H32</f>
        <v>0</v>
      </c>
      <c r="I31" s="41">
        <f>I32</f>
        <v>955629</v>
      </c>
      <c r="J31" s="39">
        <f t="shared" si="0"/>
        <v>-955629</v>
      </c>
      <c r="K31" s="41">
        <f>K32</f>
        <v>0</v>
      </c>
      <c r="L31" s="41">
        <f>L32</f>
        <v>0</v>
      </c>
    </row>
    <row r="32" spans="1:12" ht="17.100000000000001" customHeight="1" x14ac:dyDescent="0.2">
      <c r="A32" s="3" t="s">
        <v>458</v>
      </c>
      <c r="B32" s="3" t="s">
        <v>472</v>
      </c>
      <c r="C32" s="3" t="s">
        <v>487</v>
      </c>
      <c r="D32" s="3" t="s">
        <v>464</v>
      </c>
      <c r="E32" s="5" t="s">
        <v>465</v>
      </c>
      <c r="F32" s="18">
        <v>590900</v>
      </c>
      <c r="G32" s="17">
        <v>760255</v>
      </c>
      <c r="H32" s="17"/>
      <c r="I32" s="40">
        <v>955629</v>
      </c>
      <c r="J32" s="39">
        <f t="shared" si="0"/>
        <v>-955629</v>
      </c>
      <c r="K32" s="40"/>
      <c r="L32" s="40"/>
    </row>
    <row r="33" spans="1:12" ht="17.100000000000001" customHeight="1" x14ac:dyDescent="0.2">
      <c r="A33" s="3" t="s">
        <v>458</v>
      </c>
      <c r="B33" s="3" t="s">
        <v>472</v>
      </c>
      <c r="C33" s="3" t="s">
        <v>82</v>
      </c>
      <c r="D33" s="3"/>
      <c r="E33" s="31" t="s">
        <v>84</v>
      </c>
      <c r="F33" s="18"/>
      <c r="G33" s="17"/>
      <c r="H33" s="17"/>
      <c r="I33" s="40">
        <f>I34</f>
        <v>3371744</v>
      </c>
      <c r="J33" s="39">
        <f t="shared" si="0"/>
        <v>-156005</v>
      </c>
      <c r="K33" s="40">
        <f>K34</f>
        <v>3215739</v>
      </c>
      <c r="L33" s="40">
        <f>L34</f>
        <v>3215739</v>
      </c>
    </row>
    <row r="34" spans="1:12" ht="17.100000000000001" customHeight="1" x14ac:dyDescent="0.2">
      <c r="A34" s="3" t="s">
        <v>458</v>
      </c>
      <c r="B34" s="3" t="s">
        <v>472</v>
      </c>
      <c r="C34" s="3" t="s">
        <v>82</v>
      </c>
      <c r="D34" s="3" t="s">
        <v>464</v>
      </c>
      <c r="E34" s="31" t="s">
        <v>465</v>
      </c>
      <c r="F34" s="18"/>
      <c r="G34" s="17"/>
      <c r="H34" s="17"/>
      <c r="I34" s="40">
        <v>3371744</v>
      </c>
      <c r="J34" s="39">
        <f t="shared" si="0"/>
        <v>-156005</v>
      </c>
      <c r="K34" s="40">
        <v>3215739</v>
      </c>
      <c r="L34" s="40">
        <v>3215739</v>
      </c>
    </row>
    <row r="35" spans="1:12" ht="17.100000000000001" customHeight="1" x14ac:dyDescent="0.2">
      <c r="A35" s="3" t="s">
        <v>458</v>
      </c>
      <c r="B35" s="3" t="s">
        <v>472</v>
      </c>
      <c r="C35" s="3" t="s">
        <v>83</v>
      </c>
      <c r="D35" s="3"/>
      <c r="E35" s="31" t="s">
        <v>85</v>
      </c>
      <c r="F35" s="18"/>
      <c r="G35" s="17"/>
      <c r="H35" s="17"/>
      <c r="I35" s="40">
        <f>I36</f>
        <v>230000</v>
      </c>
      <c r="J35" s="39">
        <f t="shared" si="0"/>
        <v>0</v>
      </c>
      <c r="K35" s="40">
        <f>K36</f>
        <v>230000</v>
      </c>
      <c r="L35" s="40">
        <f>L36</f>
        <v>230000</v>
      </c>
    </row>
    <row r="36" spans="1:12" ht="17.100000000000001" customHeight="1" x14ac:dyDescent="0.2">
      <c r="A36" s="3" t="s">
        <v>458</v>
      </c>
      <c r="B36" s="3" t="s">
        <v>472</v>
      </c>
      <c r="C36" s="3" t="s">
        <v>83</v>
      </c>
      <c r="D36" s="3" t="s">
        <v>464</v>
      </c>
      <c r="E36" s="31" t="s">
        <v>465</v>
      </c>
      <c r="F36" s="18"/>
      <c r="G36" s="17"/>
      <c r="H36" s="17"/>
      <c r="I36" s="40">
        <v>230000</v>
      </c>
      <c r="J36" s="39">
        <f t="shared" si="0"/>
        <v>0</v>
      </c>
      <c r="K36" s="40">
        <v>230000</v>
      </c>
      <c r="L36" s="40">
        <v>230000</v>
      </c>
    </row>
    <row r="37" spans="1:12" ht="36.75" hidden="1" customHeight="1" x14ac:dyDescent="0.2">
      <c r="A37" s="3" t="s">
        <v>458</v>
      </c>
      <c r="B37" s="3" t="s">
        <v>472</v>
      </c>
      <c r="C37" s="3" t="s">
        <v>281</v>
      </c>
      <c r="D37" s="3"/>
      <c r="E37" s="31" t="s">
        <v>294</v>
      </c>
      <c r="F37" s="18"/>
      <c r="G37" s="17"/>
      <c r="H37" s="17"/>
      <c r="I37" s="40">
        <f>I38</f>
        <v>0</v>
      </c>
      <c r="J37" s="39">
        <f t="shared" si="0"/>
        <v>0</v>
      </c>
      <c r="K37" s="40">
        <f>K38</f>
        <v>0</v>
      </c>
      <c r="L37" s="40">
        <f>L38</f>
        <v>0</v>
      </c>
    </row>
    <row r="38" spans="1:12" ht="17.100000000000001" hidden="1" customHeight="1" x14ac:dyDescent="0.2">
      <c r="A38" s="3" t="s">
        <v>458</v>
      </c>
      <c r="B38" s="3" t="s">
        <v>472</v>
      </c>
      <c r="C38" s="3" t="s">
        <v>281</v>
      </c>
      <c r="D38" s="3" t="s">
        <v>464</v>
      </c>
      <c r="E38" s="31" t="s">
        <v>465</v>
      </c>
      <c r="F38" s="18"/>
      <c r="G38" s="17"/>
      <c r="H38" s="17"/>
      <c r="I38" s="40"/>
      <c r="J38" s="39">
        <f t="shared" si="0"/>
        <v>0</v>
      </c>
      <c r="K38" s="40">
        <v>0</v>
      </c>
      <c r="L38" s="40">
        <v>0</v>
      </c>
    </row>
    <row r="39" spans="1:12" ht="17.100000000000001" customHeight="1" x14ac:dyDescent="0.2">
      <c r="A39" s="3" t="s">
        <v>458</v>
      </c>
      <c r="B39" s="3" t="s">
        <v>277</v>
      </c>
      <c r="C39" s="3"/>
      <c r="D39" s="3"/>
      <c r="E39" s="31" t="s">
        <v>290</v>
      </c>
      <c r="F39" s="18"/>
      <c r="G39" s="17"/>
      <c r="H39" s="17"/>
      <c r="I39" s="40">
        <f>I40</f>
        <v>0</v>
      </c>
      <c r="J39" s="39">
        <f t="shared" si="0"/>
        <v>6800</v>
      </c>
      <c r="K39" s="40">
        <f>K40</f>
        <v>6800</v>
      </c>
      <c r="L39" s="40">
        <f>L40</f>
        <v>0</v>
      </c>
    </row>
    <row r="40" spans="1:12" ht="33" customHeight="1" x14ac:dyDescent="0.2">
      <c r="A40" s="3" t="s">
        <v>458</v>
      </c>
      <c r="B40" s="3" t="s">
        <v>277</v>
      </c>
      <c r="C40" s="3" t="s">
        <v>278</v>
      </c>
      <c r="D40" s="3"/>
      <c r="E40" s="31" t="s">
        <v>291</v>
      </c>
      <c r="F40" s="18"/>
      <c r="G40" s="17"/>
      <c r="H40" s="17"/>
      <c r="I40" s="40">
        <f>I41</f>
        <v>0</v>
      </c>
      <c r="J40" s="39">
        <f t="shared" si="0"/>
        <v>6800</v>
      </c>
      <c r="K40" s="40">
        <f>K41</f>
        <v>6800</v>
      </c>
      <c r="L40" s="40">
        <f>L41</f>
        <v>0</v>
      </c>
    </row>
    <row r="41" spans="1:12" ht="17.100000000000001" customHeight="1" x14ac:dyDescent="0.2">
      <c r="A41" s="3" t="s">
        <v>458</v>
      </c>
      <c r="B41" s="3" t="s">
        <v>277</v>
      </c>
      <c r="C41" s="3" t="s">
        <v>278</v>
      </c>
      <c r="D41" s="3" t="s">
        <v>464</v>
      </c>
      <c r="E41" s="31" t="s">
        <v>465</v>
      </c>
      <c r="F41" s="18"/>
      <c r="G41" s="17"/>
      <c r="H41" s="17"/>
      <c r="I41" s="40"/>
      <c r="J41" s="39">
        <f t="shared" si="0"/>
        <v>6800</v>
      </c>
      <c r="K41" s="40">
        <v>6800</v>
      </c>
      <c r="L41" s="40"/>
    </row>
    <row r="42" spans="1:12" ht="17.100000000000001" customHeight="1" x14ac:dyDescent="0.2">
      <c r="A42" s="3" t="s">
        <v>458</v>
      </c>
      <c r="B42" s="3" t="s">
        <v>488</v>
      </c>
      <c r="C42" s="2"/>
      <c r="D42" s="2"/>
      <c r="E42" s="5" t="s">
        <v>489</v>
      </c>
      <c r="F42" s="21">
        <f>F43+F45</f>
        <v>1380092</v>
      </c>
      <c r="G42" s="13">
        <f>G43+G45</f>
        <v>-380092</v>
      </c>
      <c r="H42" s="13">
        <f>H43+H45</f>
        <v>0</v>
      </c>
      <c r="I42" s="39">
        <f>I43+I45</f>
        <v>5319422.3499999996</v>
      </c>
      <c r="J42" s="39">
        <f t="shared" si="0"/>
        <v>-3319422.3499999996</v>
      </c>
      <c r="K42" s="39">
        <f>K43+K45</f>
        <v>2000000</v>
      </c>
      <c r="L42" s="39">
        <f>L43+L45</f>
        <v>10431639</v>
      </c>
    </row>
    <row r="43" spans="1:12" ht="17.100000000000001" customHeight="1" x14ac:dyDescent="0.2">
      <c r="A43" s="3" t="s">
        <v>458</v>
      </c>
      <c r="B43" s="3" t="s">
        <v>488</v>
      </c>
      <c r="C43" s="3" t="s">
        <v>490</v>
      </c>
      <c r="D43" s="2"/>
      <c r="E43" s="5" t="s">
        <v>491</v>
      </c>
      <c r="F43" s="21">
        <f>F44</f>
        <v>1000000</v>
      </c>
      <c r="G43" s="13">
        <f>G44</f>
        <v>0</v>
      </c>
      <c r="H43" s="13">
        <f>H44</f>
        <v>0</v>
      </c>
      <c r="I43" s="39">
        <v>5319422.3499999996</v>
      </c>
      <c r="J43" s="39">
        <f t="shared" si="0"/>
        <v>-3319422.3499999996</v>
      </c>
      <c r="K43" s="39">
        <f>K44</f>
        <v>2000000</v>
      </c>
      <c r="L43" s="39">
        <f>L44</f>
        <v>10431639</v>
      </c>
    </row>
    <row r="44" spans="1:12" ht="15.75" customHeight="1" x14ac:dyDescent="0.2">
      <c r="A44" s="3" t="s">
        <v>458</v>
      </c>
      <c r="B44" s="3" t="s">
        <v>488</v>
      </c>
      <c r="C44" s="3" t="s">
        <v>490</v>
      </c>
      <c r="D44" s="3" t="s">
        <v>492</v>
      </c>
      <c r="E44" s="5" t="s">
        <v>493</v>
      </c>
      <c r="F44" s="18">
        <v>1000000</v>
      </c>
      <c r="G44" s="17"/>
      <c r="H44" s="17"/>
      <c r="I44" s="40">
        <v>2929362.35</v>
      </c>
      <c r="J44" s="39">
        <f t="shared" si="0"/>
        <v>-929362.35000000009</v>
      </c>
      <c r="K44" s="40">
        <v>2000000</v>
      </c>
      <c r="L44" s="40">
        <v>10431639</v>
      </c>
    </row>
    <row r="45" spans="1:12" ht="17.100000000000001" hidden="1" customHeight="1" x14ac:dyDescent="0.2">
      <c r="A45" s="3" t="s">
        <v>458</v>
      </c>
      <c r="B45" s="3" t="s">
        <v>488</v>
      </c>
      <c r="C45" s="3" t="s">
        <v>494</v>
      </c>
      <c r="D45" s="2"/>
      <c r="E45" s="5" t="s">
        <v>495</v>
      </c>
      <c r="F45" s="18">
        <f>F46</f>
        <v>380092</v>
      </c>
      <c r="G45" s="19">
        <f>G46</f>
        <v>-380092</v>
      </c>
      <c r="H45" s="19">
        <f>H46</f>
        <v>0</v>
      </c>
      <c r="I45" s="53">
        <f>I46</f>
        <v>0</v>
      </c>
      <c r="J45" s="39">
        <f t="shared" si="0"/>
        <v>0</v>
      </c>
      <c r="K45" s="41">
        <f>K46</f>
        <v>0</v>
      </c>
      <c r="L45" s="41">
        <f>L46</f>
        <v>0</v>
      </c>
    </row>
    <row r="46" spans="1:12" ht="14.25" hidden="1" customHeight="1" x14ac:dyDescent="0.2">
      <c r="A46" s="3" t="s">
        <v>458</v>
      </c>
      <c r="B46" s="3" t="s">
        <v>488</v>
      </c>
      <c r="C46" s="3" t="s">
        <v>494</v>
      </c>
      <c r="D46" s="3" t="s">
        <v>492</v>
      </c>
      <c r="E46" s="5" t="s">
        <v>493</v>
      </c>
      <c r="F46" s="18">
        <v>380092</v>
      </c>
      <c r="G46" s="17">
        <v>-380092</v>
      </c>
      <c r="H46" s="17"/>
      <c r="I46" s="52">
        <v>0</v>
      </c>
      <c r="J46" s="39">
        <f t="shared" si="0"/>
        <v>0</v>
      </c>
      <c r="K46" s="40">
        <v>0</v>
      </c>
      <c r="L46" s="40">
        <v>0</v>
      </c>
    </row>
    <row r="47" spans="1:12" ht="17.100000000000001" customHeight="1" x14ac:dyDescent="0.2">
      <c r="A47" s="3" t="s">
        <v>458</v>
      </c>
      <c r="B47" s="3" t="s">
        <v>496</v>
      </c>
      <c r="C47" s="2"/>
      <c r="D47" s="2"/>
      <c r="E47" s="5" t="s">
        <v>497</v>
      </c>
      <c r="F47" s="21">
        <f>F52+F54+F62</f>
        <v>821000</v>
      </c>
      <c r="G47" s="13">
        <f>G52+G54+G62</f>
        <v>361934</v>
      </c>
      <c r="H47" s="13">
        <f>H52+H54+H62</f>
        <v>0</v>
      </c>
      <c r="I47" s="39">
        <f>I52+I54+I62+I58+I60+I56+I48+I50</f>
        <v>1197615</v>
      </c>
      <c r="J47" s="39">
        <f t="shared" si="0"/>
        <v>1387382</v>
      </c>
      <c r="K47" s="39">
        <f>K52+K54+K62+K58+K60+K56+K48+K50</f>
        <v>2584997</v>
      </c>
      <c r="L47" s="39">
        <f>L52+L54+L62+L58+L60+L56+L48+L50</f>
        <v>1799297</v>
      </c>
    </row>
    <row r="48" spans="1:12" ht="26.25" customHeight="1" x14ac:dyDescent="0.2">
      <c r="A48" s="3" t="s">
        <v>458</v>
      </c>
      <c r="B48" s="3" t="s">
        <v>496</v>
      </c>
      <c r="C48" s="3" t="s">
        <v>302</v>
      </c>
      <c r="D48" s="2"/>
      <c r="E48" s="31" t="s">
        <v>324</v>
      </c>
      <c r="F48" s="21"/>
      <c r="G48" s="13"/>
      <c r="H48" s="13"/>
      <c r="I48" s="39">
        <f>I49</f>
        <v>0</v>
      </c>
      <c r="J48" s="39">
        <f t="shared" si="0"/>
        <v>0</v>
      </c>
      <c r="K48" s="39">
        <f>K49</f>
        <v>0</v>
      </c>
      <c r="L48" s="39">
        <f>L49</f>
        <v>0</v>
      </c>
    </row>
    <row r="49" spans="1:13" ht="17.100000000000001" customHeight="1" x14ac:dyDescent="0.2">
      <c r="A49" s="3" t="s">
        <v>458</v>
      </c>
      <c r="B49" s="3" t="s">
        <v>496</v>
      </c>
      <c r="C49" s="3" t="s">
        <v>302</v>
      </c>
      <c r="D49" s="2">
        <v>500</v>
      </c>
      <c r="E49" s="31" t="s">
        <v>465</v>
      </c>
      <c r="F49" s="21"/>
      <c r="G49" s="13"/>
      <c r="H49" s="13"/>
      <c r="I49" s="39">
        <v>0</v>
      </c>
      <c r="J49" s="39">
        <f t="shared" si="0"/>
        <v>0</v>
      </c>
      <c r="K49" s="39">
        <v>0</v>
      </c>
      <c r="L49" s="39">
        <v>0</v>
      </c>
    </row>
    <row r="50" spans="1:13" ht="24.75" hidden="1" customHeight="1" x14ac:dyDescent="0.2">
      <c r="A50" s="3" t="s">
        <v>458</v>
      </c>
      <c r="B50" s="3" t="s">
        <v>496</v>
      </c>
      <c r="C50" s="3" t="s">
        <v>356</v>
      </c>
      <c r="D50" s="2"/>
      <c r="E50" s="31" t="s">
        <v>357</v>
      </c>
      <c r="F50" s="21"/>
      <c r="G50" s="13"/>
      <c r="H50" s="13"/>
      <c r="I50" s="39">
        <f>I51</f>
        <v>0</v>
      </c>
      <c r="J50" s="39">
        <f t="shared" si="0"/>
        <v>0</v>
      </c>
      <c r="K50" s="39">
        <f>K51</f>
        <v>0</v>
      </c>
      <c r="L50" s="39">
        <f>L51</f>
        <v>0</v>
      </c>
    </row>
    <row r="51" spans="1:13" ht="17.100000000000001" hidden="1" customHeight="1" x14ac:dyDescent="0.2">
      <c r="A51" s="3" t="s">
        <v>458</v>
      </c>
      <c r="B51" s="3" t="s">
        <v>496</v>
      </c>
      <c r="C51" s="3" t="s">
        <v>356</v>
      </c>
      <c r="D51" s="2">
        <v>500</v>
      </c>
      <c r="E51" s="31" t="s">
        <v>465</v>
      </c>
      <c r="F51" s="21"/>
      <c r="G51" s="13"/>
      <c r="H51" s="13"/>
      <c r="I51" s="39">
        <v>0</v>
      </c>
      <c r="J51" s="39">
        <f t="shared" si="0"/>
        <v>0</v>
      </c>
      <c r="K51" s="39"/>
      <c r="L51" s="39"/>
    </row>
    <row r="52" spans="1:13" ht="21.75" customHeight="1" x14ac:dyDescent="0.2">
      <c r="A52" s="3" t="s">
        <v>458</v>
      </c>
      <c r="B52" s="3" t="s">
        <v>496</v>
      </c>
      <c r="C52" s="3" t="s">
        <v>498</v>
      </c>
      <c r="D52" s="2"/>
      <c r="E52" s="5" t="s">
        <v>499</v>
      </c>
      <c r="F52" s="21">
        <f>F53</f>
        <v>335500</v>
      </c>
      <c r="G52" s="13">
        <f>G53</f>
        <v>146500</v>
      </c>
      <c r="H52" s="13">
        <f>H53</f>
        <v>0</v>
      </c>
      <c r="I52" s="39">
        <f>I53</f>
        <v>542000</v>
      </c>
      <c r="J52" s="39">
        <f t="shared" si="0"/>
        <v>-67000</v>
      </c>
      <c r="K52" s="39">
        <f>K53</f>
        <v>475000</v>
      </c>
      <c r="L52" s="39">
        <f>L53</f>
        <v>475300</v>
      </c>
    </row>
    <row r="53" spans="1:13" ht="17.100000000000001" customHeight="1" x14ac:dyDescent="0.2">
      <c r="A53" s="3" t="s">
        <v>458</v>
      </c>
      <c r="B53" s="3" t="s">
        <v>496</v>
      </c>
      <c r="C53" s="3" t="s">
        <v>498</v>
      </c>
      <c r="D53" s="3" t="s">
        <v>482</v>
      </c>
      <c r="E53" s="5" t="s">
        <v>483</v>
      </c>
      <c r="F53" s="18">
        <v>335500</v>
      </c>
      <c r="G53" s="17">
        <v>146500</v>
      </c>
      <c r="H53" s="17"/>
      <c r="I53" s="40">
        <v>542000</v>
      </c>
      <c r="J53" s="39">
        <f t="shared" si="0"/>
        <v>-67000</v>
      </c>
      <c r="K53" s="40">
        <v>475000</v>
      </c>
      <c r="L53" s="40">
        <v>475300</v>
      </c>
    </row>
    <row r="54" spans="1:13" ht="23.25" customHeight="1" x14ac:dyDescent="0.2">
      <c r="A54" s="3" t="s">
        <v>458</v>
      </c>
      <c r="B54" s="3" t="s">
        <v>496</v>
      </c>
      <c r="C54" s="3" t="s">
        <v>58</v>
      </c>
      <c r="D54" s="2"/>
      <c r="E54" s="5" t="s">
        <v>206</v>
      </c>
      <c r="F54" s="16">
        <f>F55</f>
        <v>320500</v>
      </c>
      <c r="G54" s="19">
        <f>G55</f>
        <v>215434</v>
      </c>
      <c r="H54" s="19">
        <f>H55</f>
        <v>0</v>
      </c>
      <c r="I54" s="41">
        <f>I55</f>
        <v>535615</v>
      </c>
      <c r="J54" s="39">
        <f t="shared" si="0"/>
        <v>108382</v>
      </c>
      <c r="K54" s="41">
        <f>K55</f>
        <v>643997</v>
      </c>
      <c r="L54" s="41">
        <f>L55</f>
        <v>643997</v>
      </c>
    </row>
    <row r="55" spans="1:13" ht="17.100000000000001" customHeight="1" x14ac:dyDescent="0.2">
      <c r="A55" s="3" t="s">
        <v>458</v>
      </c>
      <c r="B55" s="3" t="s">
        <v>496</v>
      </c>
      <c r="C55" s="3" t="s">
        <v>58</v>
      </c>
      <c r="D55" s="3" t="s">
        <v>482</v>
      </c>
      <c r="E55" s="5" t="s">
        <v>483</v>
      </c>
      <c r="F55" s="16">
        <v>320500</v>
      </c>
      <c r="G55" s="17">
        <v>215434</v>
      </c>
      <c r="H55" s="17"/>
      <c r="I55" s="40">
        <v>535615</v>
      </c>
      <c r="J55" s="39">
        <f t="shared" si="0"/>
        <v>108382</v>
      </c>
      <c r="K55" s="40">
        <v>643997</v>
      </c>
      <c r="L55" s="40">
        <v>643997</v>
      </c>
    </row>
    <row r="56" spans="1:13" ht="25.5" hidden="1" customHeight="1" x14ac:dyDescent="0.2">
      <c r="A56" s="3" t="s">
        <v>458</v>
      </c>
      <c r="B56" s="3" t="s">
        <v>496</v>
      </c>
      <c r="C56" s="3" t="s">
        <v>173</v>
      </c>
      <c r="D56" s="3"/>
      <c r="E56" s="5" t="s">
        <v>174</v>
      </c>
      <c r="F56" s="16"/>
      <c r="G56" s="17"/>
      <c r="H56" s="17"/>
      <c r="I56" s="40">
        <f>I57</f>
        <v>0</v>
      </c>
      <c r="J56" s="39">
        <f t="shared" si="0"/>
        <v>0</v>
      </c>
      <c r="K56" s="40">
        <f>K57</f>
        <v>0</v>
      </c>
      <c r="L56" s="40">
        <f>L57</f>
        <v>0</v>
      </c>
    </row>
    <row r="57" spans="1:13" ht="17.100000000000001" hidden="1" customHeight="1" x14ac:dyDescent="0.2">
      <c r="A57" s="3" t="s">
        <v>458</v>
      </c>
      <c r="B57" s="3" t="s">
        <v>496</v>
      </c>
      <c r="C57" s="3" t="s">
        <v>173</v>
      </c>
      <c r="D57" s="3" t="s">
        <v>482</v>
      </c>
      <c r="E57" s="5" t="s">
        <v>483</v>
      </c>
      <c r="F57" s="16"/>
      <c r="G57" s="17"/>
      <c r="H57" s="17"/>
      <c r="I57" s="40"/>
      <c r="J57" s="39">
        <f t="shared" si="0"/>
        <v>0</v>
      </c>
      <c r="K57" s="40"/>
      <c r="L57" s="40"/>
    </row>
    <row r="58" spans="1:13" ht="17.100000000000001" customHeight="1" x14ac:dyDescent="0.2">
      <c r="A58" s="3" t="s">
        <v>458</v>
      </c>
      <c r="B58" s="3" t="s">
        <v>496</v>
      </c>
      <c r="C58" s="3" t="s">
        <v>668</v>
      </c>
      <c r="D58" s="3"/>
      <c r="E58" s="31" t="s">
        <v>86</v>
      </c>
      <c r="F58" s="16"/>
      <c r="G58" s="17"/>
      <c r="H58" s="17"/>
      <c r="I58" s="40">
        <f>I59</f>
        <v>80000</v>
      </c>
      <c r="J58" s="39">
        <f t="shared" si="0"/>
        <v>100000</v>
      </c>
      <c r="K58" s="40">
        <f>K59</f>
        <v>180000</v>
      </c>
      <c r="L58" s="40">
        <f>L59</f>
        <v>180000</v>
      </c>
    </row>
    <row r="59" spans="1:13" ht="17.100000000000001" customHeight="1" x14ac:dyDescent="0.2">
      <c r="A59" s="3" t="s">
        <v>458</v>
      </c>
      <c r="B59" s="3" t="s">
        <v>496</v>
      </c>
      <c r="C59" s="3" t="s">
        <v>668</v>
      </c>
      <c r="D59" s="3" t="s">
        <v>482</v>
      </c>
      <c r="E59" s="31" t="s">
        <v>483</v>
      </c>
      <c r="F59" s="16"/>
      <c r="G59" s="17"/>
      <c r="H59" s="17"/>
      <c r="I59" s="40">
        <v>80000</v>
      </c>
      <c r="J59" s="39">
        <f t="shared" si="0"/>
        <v>100000</v>
      </c>
      <c r="K59" s="40">
        <v>180000</v>
      </c>
      <c r="L59" s="40">
        <v>180000</v>
      </c>
    </row>
    <row r="60" spans="1:13" ht="37.5" customHeight="1" x14ac:dyDescent="0.2">
      <c r="A60" s="3" t="s">
        <v>458</v>
      </c>
      <c r="B60" s="3" t="s">
        <v>496</v>
      </c>
      <c r="C60" s="3" t="s">
        <v>72</v>
      </c>
      <c r="D60" s="3"/>
      <c r="E60" s="5" t="s">
        <v>207</v>
      </c>
      <c r="F60" s="16"/>
      <c r="G60" s="17"/>
      <c r="H60" s="17"/>
      <c r="I60" s="40">
        <f>I61</f>
        <v>40000</v>
      </c>
      <c r="J60" s="39">
        <f t="shared" si="0"/>
        <v>746000</v>
      </c>
      <c r="K60" s="40">
        <f>K61</f>
        <v>786000</v>
      </c>
      <c r="L60" s="40">
        <f>L61</f>
        <v>0</v>
      </c>
    </row>
    <row r="61" spans="1:13" ht="17.25" customHeight="1" x14ac:dyDescent="0.2">
      <c r="A61" s="3" t="s">
        <v>458</v>
      </c>
      <c r="B61" s="3" t="s">
        <v>496</v>
      </c>
      <c r="C61" s="3" t="s">
        <v>72</v>
      </c>
      <c r="D61" s="3" t="s">
        <v>464</v>
      </c>
      <c r="E61" s="31" t="s">
        <v>465</v>
      </c>
      <c r="F61" s="16"/>
      <c r="G61" s="17"/>
      <c r="H61" s="17"/>
      <c r="I61" s="40">
        <v>40000</v>
      </c>
      <c r="J61" s="39">
        <f t="shared" si="0"/>
        <v>746000</v>
      </c>
      <c r="K61" s="40">
        <v>786000</v>
      </c>
      <c r="L61" s="40">
        <v>0</v>
      </c>
    </row>
    <row r="62" spans="1:13" ht="48.75" customHeight="1" x14ac:dyDescent="0.2">
      <c r="A62" s="3" t="s">
        <v>458</v>
      </c>
      <c r="B62" s="3" t="s">
        <v>496</v>
      </c>
      <c r="C62" s="3" t="s">
        <v>317</v>
      </c>
      <c r="D62" s="2"/>
      <c r="E62" s="60" t="s">
        <v>406</v>
      </c>
      <c r="F62" s="16">
        <f>F63</f>
        <v>165000</v>
      </c>
      <c r="G62" s="19">
        <f>G63</f>
        <v>0</v>
      </c>
      <c r="H62" s="19">
        <f>H63</f>
        <v>0</v>
      </c>
      <c r="I62" s="41">
        <f>I63</f>
        <v>0</v>
      </c>
      <c r="J62" s="39">
        <f t="shared" si="0"/>
        <v>500000</v>
      </c>
      <c r="K62" s="41">
        <f>K63</f>
        <v>500000</v>
      </c>
      <c r="L62" s="41">
        <f>L63</f>
        <v>500000</v>
      </c>
    </row>
    <row r="63" spans="1:13" ht="17.100000000000001" customHeight="1" x14ac:dyDescent="0.2">
      <c r="A63" s="3" t="s">
        <v>458</v>
      </c>
      <c r="B63" s="3" t="s">
        <v>496</v>
      </c>
      <c r="C63" s="3" t="s">
        <v>317</v>
      </c>
      <c r="D63" s="3" t="s">
        <v>482</v>
      </c>
      <c r="E63" s="31" t="s">
        <v>483</v>
      </c>
      <c r="F63" s="16">
        <v>165000</v>
      </c>
      <c r="G63" s="17"/>
      <c r="H63" s="17"/>
      <c r="I63" s="40"/>
      <c r="J63" s="39">
        <f t="shared" si="0"/>
        <v>500000</v>
      </c>
      <c r="K63" s="40">
        <v>500000</v>
      </c>
      <c r="L63" s="40">
        <v>500000</v>
      </c>
      <c r="M63" s="10"/>
    </row>
    <row r="64" spans="1:13" ht="17.100000000000001" customHeight="1" x14ac:dyDescent="0.2">
      <c r="A64" s="3" t="s">
        <v>458</v>
      </c>
      <c r="B64" s="3" t="s">
        <v>501</v>
      </c>
      <c r="C64" s="2"/>
      <c r="D64" s="2"/>
      <c r="E64" s="5" t="s">
        <v>502</v>
      </c>
      <c r="F64" s="15">
        <f>F67+F71+F75</f>
        <v>390000</v>
      </c>
      <c r="G64" s="13">
        <f>G67+G71+G75</f>
        <v>-100000</v>
      </c>
      <c r="H64" s="13">
        <f>H67+H71+H75</f>
        <v>0</v>
      </c>
      <c r="I64" s="39">
        <f>I67+I71+I75+I65+I69+I73</f>
        <v>150000</v>
      </c>
      <c r="J64" s="39">
        <f t="shared" si="0"/>
        <v>370000</v>
      </c>
      <c r="K64" s="39">
        <f>K67+K71+K75+K65+K69+K73</f>
        <v>520000</v>
      </c>
      <c r="L64" s="39">
        <f>L67+L71+L75+L65+L69+L73</f>
        <v>0</v>
      </c>
      <c r="M64" s="10"/>
    </row>
    <row r="65" spans="1:13" ht="33.75" customHeight="1" x14ac:dyDescent="0.2">
      <c r="A65" s="3" t="s">
        <v>458</v>
      </c>
      <c r="B65" s="3" t="s">
        <v>501</v>
      </c>
      <c r="C65" s="3" t="s">
        <v>503</v>
      </c>
      <c r="D65" s="2"/>
      <c r="E65" s="5" t="s">
        <v>209</v>
      </c>
      <c r="F65" s="15"/>
      <c r="G65" s="13"/>
      <c r="H65" s="13"/>
      <c r="I65" s="39">
        <f>I66</f>
        <v>0</v>
      </c>
      <c r="J65" s="39">
        <f t="shared" si="0"/>
        <v>0</v>
      </c>
      <c r="K65" s="39">
        <f>K66</f>
        <v>0</v>
      </c>
      <c r="L65" s="39">
        <f>L66</f>
        <v>0</v>
      </c>
      <c r="M65" s="10"/>
    </row>
    <row r="66" spans="1:13" ht="17.100000000000001" customHeight="1" x14ac:dyDescent="0.2">
      <c r="A66" s="3" t="s">
        <v>458</v>
      </c>
      <c r="B66" s="3" t="s">
        <v>501</v>
      </c>
      <c r="C66" s="3" t="s">
        <v>503</v>
      </c>
      <c r="D66" s="3" t="s">
        <v>482</v>
      </c>
      <c r="E66" s="31" t="s">
        <v>483</v>
      </c>
      <c r="F66" s="15"/>
      <c r="G66" s="13"/>
      <c r="H66" s="13"/>
      <c r="I66" s="39">
        <v>0</v>
      </c>
      <c r="J66" s="39">
        <f t="shared" si="0"/>
        <v>0</v>
      </c>
      <c r="K66" s="39">
        <v>0</v>
      </c>
      <c r="L66" s="39">
        <v>0</v>
      </c>
      <c r="M66" s="10"/>
    </row>
    <row r="67" spans="1:13" ht="33" hidden="1" customHeight="1" x14ac:dyDescent="0.2">
      <c r="A67" s="3" t="s">
        <v>458</v>
      </c>
      <c r="B67" s="3" t="s">
        <v>501</v>
      </c>
      <c r="C67" s="3" t="s">
        <v>503</v>
      </c>
      <c r="D67" s="2"/>
      <c r="E67" s="5" t="s">
        <v>209</v>
      </c>
      <c r="F67" s="15">
        <f>F68</f>
        <v>220000</v>
      </c>
      <c r="G67" s="13">
        <f>G68</f>
        <v>0</v>
      </c>
      <c r="H67" s="13">
        <f>H68</f>
        <v>0</v>
      </c>
      <c r="I67" s="39">
        <f>I68</f>
        <v>0</v>
      </c>
      <c r="J67" s="39">
        <f t="shared" si="0"/>
        <v>0</v>
      </c>
      <c r="K67" s="39">
        <f>K68</f>
        <v>0</v>
      </c>
      <c r="L67" s="39">
        <f>L68</f>
        <v>0</v>
      </c>
      <c r="M67" s="10"/>
    </row>
    <row r="68" spans="1:13" ht="17.100000000000001" hidden="1" customHeight="1" x14ac:dyDescent="0.2">
      <c r="A68" s="3" t="s">
        <v>458</v>
      </c>
      <c r="B68" s="3" t="s">
        <v>501</v>
      </c>
      <c r="C68" s="3" t="s">
        <v>503</v>
      </c>
      <c r="D68" s="3" t="s">
        <v>464</v>
      </c>
      <c r="E68" s="5" t="s">
        <v>465</v>
      </c>
      <c r="F68" s="16">
        <v>220000</v>
      </c>
      <c r="G68" s="17"/>
      <c r="H68" s="17"/>
      <c r="I68" s="40">
        <v>0</v>
      </c>
      <c r="J68" s="39">
        <f t="shared" si="0"/>
        <v>0</v>
      </c>
      <c r="K68" s="40">
        <v>0</v>
      </c>
      <c r="L68" s="40">
        <v>0</v>
      </c>
      <c r="M68" s="10"/>
    </row>
    <row r="69" spans="1:13" ht="36.75" customHeight="1" x14ac:dyDescent="0.2">
      <c r="A69" s="3" t="s">
        <v>458</v>
      </c>
      <c r="B69" s="3" t="s">
        <v>501</v>
      </c>
      <c r="C69" s="3" t="s">
        <v>504</v>
      </c>
      <c r="D69" s="3"/>
      <c r="E69" s="5" t="s">
        <v>210</v>
      </c>
      <c r="F69" s="16"/>
      <c r="G69" s="17"/>
      <c r="H69" s="17"/>
      <c r="I69" s="40">
        <f>I70</f>
        <v>0</v>
      </c>
      <c r="J69" s="39">
        <f t="shared" si="0"/>
        <v>180000</v>
      </c>
      <c r="K69" s="40">
        <f>K70</f>
        <v>180000</v>
      </c>
      <c r="L69" s="40">
        <f>L70</f>
        <v>0</v>
      </c>
      <c r="M69" s="10"/>
    </row>
    <row r="70" spans="1:13" ht="17.100000000000001" customHeight="1" x14ac:dyDescent="0.2">
      <c r="A70" s="3" t="s">
        <v>458</v>
      </c>
      <c r="B70" s="3" t="s">
        <v>501</v>
      </c>
      <c r="C70" s="3" t="s">
        <v>504</v>
      </c>
      <c r="D70" s="3" t="s">
        <v>482</v>
      </c>
      <c r="E70" s="31" t="s">
        <v>483</v>
      </c>
      <c r="F70" s="16"/>
      <c r="G70" s="17"/>
      <c r="H70" s="17"/>
      <c r="I70" s="40">
        <v>0</v>
      </c>
      <c r="J70" s="39">
        <f t="shared" si="0"/>
        <v>180000</v>
      </c>
      <c r="K70" s="40">
        <v>180000</v>
      </c>
      <c r="L70" s="40">
        <v>0</v>
      </c>
      <c r="M70" s="10"/>
    </row>
    <row r="71" spans="1:13" ht="33" customHeight="1" x14ac:dyDescent="0.2">
      <c r="A71" s="3" t="s">
        <v>458</v>
      </c>
      <c r="B71" s="3" t="s">
        <v>501</v>
      </c>
      <c r="C71" s="3" t="s">
        <v>504</v>
      </c>
      <c r="D71" s="2"/>
      <c r="E71" s="5" t="s">
        <v>210</v>
      </c>
      <c r="F71" s="16">
        <f>F72</f>
        <v>100000</v>
      </c>
      <c r="G71" s="19">
        <f>G72</f>
        <v>-100000</v>
      </c>
      <c r="H71" s="19">
        <f>H72</f>
        <v>0</v>
      </c>
      <c r="I71" s="41">
        <f>I72</f>
        <v>150000</v>
      </c>
      <c r="J71" s="39">
        <f t="shared" si="0"/>
        <v>-150000</v>
      </c>
      <c r="K71" s="41">
        <f>K72</f>
        <v>0</v>
      </c>
      <c r="L71" s="41">
        <f>L72</f>
        <v>0</v>
      </c>
      <c r="M71" s="10"/>
    </row>
    <row r="72" spans="1:13" ht="17.100000000000001" customHeight="1" x14ac:dyDescent="0.2">
      <c r="A72" s="3" t="s">
        <v>458</v>
      </c>
      <c r="B72" s="3" t="s">
        <v>501</v>
      </c>
      <c r="C72" s="3" t="s">
        <v>504</v>
      </c>
      <c r="D72" s="3" t="s">
        <v>464</v>
      </c>
      <c r="E72" s="5" t="s">
        <v>465</v>
      </c>
      <c r="F72" s="16">
        <v>100000</v>
      </c>
      <c r="G72" s="17">
        <v>-100000</v>
      </c>
      <c r="H72" s="17"/>
      <c r="I72" s="40">
        <v>150000</v>
      </c>
      <c r="J72" s="39">
        <f t="shared" si="0"/>
        <v>-150000</v>
      </c>
      <c r="K72" s="40">
        <v>0</v>
      </c>
      <c r="L72" s="40">
        <v>0</v>
      </c>
      <c r="M72" s="10"/>
    </row>
    <row r="73" spans="1:13" ht="38.25" customHeight="1" x14ac:dyDescent="0.2">
      <c r="A73" s="3" t="s">
        <v>458</v>
      </c>
      <c r="B73" s="3" t="s">
        <v>501</v>
      </c>
      <c r="C73" s="3" t="s">
        <v>505</v>
      </c>
      <c r="D73" s="3"/>
      <c r="E73" s="5" t="s">
        <v>211</v>
      </c>
      <c r="F73" s="16"/>
      <c r="G73" s="17"/>
      <c r="H73" s="17"/>
      <c r="I73" s="40">
        <f>I74</f>
        <v>0</v>
      </c>
      <c r="J73" s="39">
        <f t="shared" ref="J73:J136" si="2">K73-I73</f>
        <v>340000</v>
      </c>
      <c r="K73" s="40">
        <f>K74</f>
        <v>340000</v>
      </c>
      <c r="L73" s="40">
        <f>L74</f>
        <v>0</v>
      </c>
      <c r="M73" s="10"/>
    </row>
    <row r="74" spans="1:13" ht="17.100000000000001" customHeight="1" x14ac:dyDescent="0.2">
      <c r="A74" s="3" t="s">
        <v>458</v>
      </c>
      <c r="B74" s="3" t="s">
        <v>501</v>
      </c>
      <c r="C74" s="3" t="s">
        <v>505</v>
      </c>
      <c r="D74" s="3" t="s">
        <v>482</v>
      </c>
      <c r="E74" s="31" t="s">
        <v>483</v>
      </c>
      <c r="F74" s="16"/>
      <c r="G74" s="17"/>
      <c r="H74" s="17"/>
      <c r="I74" s="40">
        <v>0</v>
      </c>
      <c r="J74" s="39">
        <f t="shared" si="2"/>
        <v>340000</v>
      </c>
      <c r="K74" s="40">
        <v>340000</v>
      </c>
      <c r="L74" s="40">
        <v>0</v>
      </c>
      <c r="M74" s="10"/>
    </row>
    <row r="75" spans="1:13" ht="33.75" hidden="1" customHeight="1" x14ac:dyDescent="0.2">
      <c r="A75" s="3" t="s">
        <v>458</v>
      </c>
      <c r="B75" s="3" t="s">
        <v>501</v>
      </c>
      <c r="C75" s="3" t="s">
        <v>505</v>
      </c>
      <c r="D75" s="2"/>
      <c r="E75" s="5" t="s">
        <v>211</v>
      </c>
      <c r="F75" s="16">
        <f>F76</f>
        <v>70000</v>
      </c>
      <c r="G75" s="19">
        <f>G76</f>
        <v>0</v>
      </c>
      <c r="H75" s="19">
        <f>H76</f>
        <v>0</v>
      </c>
      <c r="I75" s="41">
        <f>I76</f>
        <v>0</v>
      </c>
      <c r="J75" s="39">
        <f t="shared" si="2"/>
        <v>0</v>
      </c>
      <c r="K75" s="41">
        <f>K76</f>
        <v>0</v>
      </c>
      <c r="L75" s="41">
        <f>L76</f>
        <v>0</v>
      </c>
      <c r="M75" s="10"/>
    </row>
    <row r="76" spans="1:13" ht="17.100000000000001" hidden="1" customHeight="1" x14ac:dyDescent="0.2">
      <c r="A76" s="3" t="s">
        <v>458</v>
      </c>
      <c r="B76" s="3" t="s">
        <v>501</v>
      </c>
      <c r="C76" s="3" t="s">
        <v>505</v>
      </c>
      <c r="D76" s="3" t="s">
        <v>464</v>
      </c>
      <c r="E76" s="5" t="s">
        <v>465</v>
      </c>
      <c r="F76" s="16">
        <v>70000</v>
      </c>
      <c r="G76" s="17"/>
      <c r="H76" s="17"/>
      <c r="I76" s="40"/>
      <c r="J76" s="39">
        <f t="shared" si="2"/>
        <v>0</v>
      </c>
      <c r="K76" s="40"/>
      <c r="L76" s="40"/>
      <c r="M76" s="10"/>
    </row>
    <row r="77" spans="1:13" ht="33.75" customHeight="1" x14ac:dyDescent="0.2">
      <c r="A77" s="3" t="s">
        <v>458</v>
      </c>
      <c r="B77" s="3" t="s">
        <v>506</v>
      </c>
      <c r="C77" s="2"/>
      <c r="D77" s="2"/>
      <c r="E77" s="5" t="s">
        <v>507</v>
      </c>
      <c r="F77" s="15">
        <f t="shared" ref="F77:I78" si="3">F78</f>
        <v>300000</v>
      </c>
      <c r="G77" s="13">
        <f t="shared" si="3"/>
        <v>0</v>
      </c>
      <c r="H77" s="13">
        <f t="shared" si="3"/>
        <v>0</v>
      </c>
      <c r="I77" s="39">
        <f t="shared" si="3"/>
        <v>300000</v>
      </c>
      <c r="J77" s="39">
        <f t="shared" si="2"/>
        <v>0</v>
      </c>
      <c r="K77" s="39">
        <f>K78</f>
        <v>300000</v>
      </c>
      <c r="L77" s="39">
        <f>L78</f>
        <v>300000</v>
      </c>
      <c r="M77" s="10"/>
    </row>
    <row r="78" spans="1:13" ht="33.75" customHeight="1" x14ac:dyDescent="0.2">
      <c r="A78" s="3" t="s">
        <v>458</v>
      </c>
      <c r="B78" s="3" t="s">
        <v>506</v>
      </c>
      <c r="C78" s="3" t="s">
        <v>508</v>
      </c>
      <c r="D78" s="2"/>
      <c r="E78" s="5" t="s">
        <v>509</v>
      </c>
      <c r="F78" s="15">
        <f t="shared" si="3"/>
        <v>300000</v>
      </c>
      <c r="G78" s="13">
        <f t="shared" si="3"/>
        <v>0</v>
      </c>
      <c r="H78" s="13">
        <f t="shared" si="3"/>
        <v>0</v>
      </c>
      <c r="I78" s="39">
        <f t="shared" si="3"/>
        <v>300000</v>
      </c>
      <c r="J78" s="39">
        <f t="shared" si="2"/>
        <v>0</v>
      </c>
      <c r="K78" s="39">
        <f>K79</f>
        <v>300000</v>
      </c>
      <c r="L78" s="39">
        <f>L79</f>
        <v>300000</v>
      </c>
    </row>
    <row r="79" spans="1:13" ht="30" customHeight="1" x14ac:dyDescent="0.2">
      <c r="A79" s="3" t="s">
        <v>458</v>
      </c>
      <c r="B79" s="3" t="s">
        <v>506</v>
      </c>
      <c r="C79" s="3" t="s">
        <v>508</v>
      </c>
      <c r="D79" s="3" t="s">
        <v>510</v>
      </c>
      <c r="E79" s="5" t="s">
        <v>511</v>
      </c>
      <c r="F79" s="16">
        <v>300000</v>
      </c>
      <c r="G79" s="17"/>
      <c r="H79" s="17"/>
      <c r="I79" s="40">
        <v>300000</v>
      </c>
      <c r="J79" s="39">
        <f t="shared" si="2"/>
        <v>0</v>
      </c>
      <c r="K79" s="40">
        <v>300000</v>
      </c>
      <c r="L79" s="40">
        <v>300000</v>
      </c>
    </row>
    <row r="80" spans="1:13" ht="17.100000000000001" customHeight="1" x14ac:dyDescent="0.2">
      <c r="A80" s="3" t="s">
        <v>458</v>
      </c>
      <c r="B80" s="3" t="s">
        <v>512</v>
      </c>
      <c r="C80" s="2"/>
      <c r="D80" s="2"/>
      <c r="E80" s="5" t="s">
        <v>513</v>
      </c>
      <c r="F80" s="15">
        <f t="shared" ref="F80:H81" si="4">F81</f>
        <v>1787571</v>
      </c>
      <c r="G80" s="13">
        <f t="shared" si="4"/>
        <v>340947</v>
      </c>
      <c r="H80" s="13">
        <f t="shared" si="4"/>
        <v>1665947</v>
      </c>
      <c r="I80" s="39">
        <f>I81+I86</f>
        <v>1969337</v>
      </c>
      <c r="J80" s="39">
        <f t="shared" si="2"/>
        <v>-121505</v>
      </c>
      <c r="K80" s="39">
        <f>K81+K86</f>
        <v>1847832</v>
      </c>
      <c r="L80" s="39">
        <f>L81+L86</f>
        <v>1847832</v>
      </c>
    </row>
    <row r="81" spans="1:12" ht="17.100000000000001" customHeight="1" x14ac:dyDescent="0.2">
      <c r="A81" s="3" t="s">
        <v>458</v>
      </c>
      <c r="B81" s="3" t="s">
        <v>512</v>
      </c>
      <c r="C81" s="3" t="s">
        <v>514</v>
      </c>
      <c r="D81" s="2"/>
      <c r="E81" s="5" t="s">
        <v>485</v>
      </c>
      <c r="F81" s="15">
        <f t="shared" si="4"/>
        <v>1787571</v>
      </c>
      <c r="G81" s="13">
        <f t="shared" si="4"/>
        <v>340947</v>
      </c>
      <c r="H81" s="13">
        <f t="shared" si="4"/>
        <v>1665947</v>
      </c>
      <c r="I81" s="39">
        <f>I82</f>
        <v>1969337</v>
      </c>
      <c r="J81" s="39">
        <f t="shared" si="2"/>
        <v>-255705</v>
      </c>
      <c r="K81" s="39">
        <f>K82</f>
        <v>1713632</v>
      </c>
      <c r="L81" s="39">
        <f>L82</f>
        <v>1713632</v>
      </c>
    </row>
    <row r="82" spans="1:12" ht="17.100000000000001" customHeight="1" x14ac:dyDescent="0.2">
      <c r="A82" s="3" t="s">
        <v>458</v>
      </c>
      <c r="B82" s="3" t="s">
        <v>512</v>
      </c>
      <c r="C82" s="3" t="s">
        <v>514</v>
      </c>
      <c r="D82" s="3" t="s">
        <v>464</v>
      </c>
      <c r="E82" s="5" t="s">
        <v>465</v>
      </c>
      <c r="F82" s="16">
        <v>1787571</v>
      </c>
      <c r="G82" s="17">
        <f>260947+80000</f>
        <v>340947</v>
      </c>
      <c r="H82" s="17">
        <v>1665947</v>
      </c>
      <c r="I82" s="40">
        <v>1969337</v>
      </c>
      <c r="J82" s="39">
        <f t="shared" si="2"/>
        <v>-255705</v>
      </c>
      <c r="K82" s="40">
        <v>1713632</v>
      </c>
      <c r="L82" s="40">
        <v>1713632</v>
      </c>
    </row>
    <row r="83" spans="1:12" ht="17.100000000000001" hidden="1" customHeight="1" x14ac:dyDescent="0.2">
      <c r="A83" s="3" t="s">
        <v>458</v>
      </c>
      <c r="B83" s="3" t="s">
        <v>515</v>
      </c>
      <c r="C83" s="2"/>
      <c r="D83" s="2"/>
      <c r="E83" s="5" t="s">
        <v>516</v>
      </c>
      <c r="F83" s="15">
        <f t="shared" ref="F83:I84" si="5">F84</f>
        <v>0</v>
      </c>
      <c r="G83" s="13">
        <f t="shared" si="5"/>
        <v>0</v>
      </c>
      <c r="H83" s="13">
        <f t="shared" si="5"/>
        <v>0</v>
      </c>
      <c r="I83" s="39">
        <f t="shared" si="5"/>
        <v>0</v>
      </c>
      <c r="J83" s="39">
        <f t="shared" si="2"/>
        <v>0</v>
      </c>
      <c r="K83" s="39">
        <f>K84</f>
        <v>0</v>
      </c>
      <c r="L83" s="39">
        <f>L84</f>
        <v>0</v>
      </c>
    </row>
    <row r="84" spans="1:12" ht="22.5" hidden="1" customHeight="1" x14ac:dyDescent="0.2">
      <c r="A84" s="3" t="s">
        <v>458</v>
      </c>
      <c r="B84" s="3" t="s">
        <v>515</v>
      </c>
      <c r="C84" s="3" t="s">
        <v>517</v>
      </c>
      <c r="D84" s="2"/>
      <c r="E84" s="5" t="s">
        <v>518</v>
      </c>
      <c r="F84" s="15">
        <f t="shared" si="5"/>
        <v>0</v>
      </c>
      <c r="G84" s="13">
        <f t="shared" si="5"/>
        <v>0</v>
      </c>
      <c r="H84" s="13">
        <f t="shared" si="5"/>
        <v>0</v>
      </c>
      <c r="I84" s="39">
        <f t="shared" si="5"/>
        <v>0</v>
      </c>
      <c r="J84" s="39">
        <f t="shared" si="2"/>
        <v>0</v>
      </c>
      <c r="K84" s="39">
        <f>K85</f>
        <v>0</v>
      </c>
      <c r="L84" s="39">
        <f>L85</f>
        <v>0</v>
      </c>
    </row>
    <row r="85" spans="1:12" ht="17.100000000000001" hidden="1" customHeight="1" x14ac:dyDescent="0.2">
      <c r="A85" s="3" t="s">
        <v>458</v>
      </c>
      <c r="B85" s="3" t="s">
        <v>515</v>
      </c>
      <c r="C85" s="3" t="s">
        <v>517</v>
      </c>
      <c r="D85" s="3" t="s">
        <v>464</v>
      </c>
      <c r="E85" s="5" t="s">
        <v>465</v>
      </c>
      <c r="F85" s="16">
        <v>0</v>
      </c>
      <c r="G85" s="17"/>
      <c r="H85" s="17"/>
      <c r="I85" s="40">
        <v>0</v>
      </c>
      <c r="J85" s="39">
        <f t="shared" si="2"/>
        <v>0</v>
      </c>
      <c r="K85" s="40">
        <v>0</v>
      </c>
      <c r="L85" s="40">
        <v>0</v>
      </c>
    </row>
    <row r="86" spans="1:12" ht="17.100000000000001" customHeight="1" x14ac:dyDescent="0.2">
      <c r="A86" s="3" t="s">
        <v>458</v>
      </c>
      <c r="B86" s="3" t="s">
        <v>512</v>
      </c>
      <c r="C86" s="3" t="s">
        <v>82</v>
      </c>
      <c r="D86" s="3"/>
      <c r="E86" s="5" t="s">
        <v>84</v>
      </c>
      <c r="F86" s="16"/>
      <c r="G86" s="17"/>
      <c r="H86" s="17"/>
      <c r="I86" s="40">
        <f>I87</f>
        <v>0</v>
      </c>
      <c r="J86" s="39">
        <f t="shared" si="2"/>
        <v>134200</v>
      </c>
      <c r="K86" s="40">
        <f>K87</f>
        <v>134200</v>
      </c>
      <c r="L86" s="40">
        <f>L87</f>
        <v>134200</v>
      </c>
    </row>
    <row r="87" spans="1:12" ht="17.100000000000001" customHeight="1" x14ac:dyDescent="0.2">
      <c r="A87" s="3" t="s">
        <v>458</v>
      </c>
      <c r="B87" s="3" t="s">
        <v>512</v>
      </c>
      <c r="C87" s="3" t="s">
        <v>82</v>
      </c>
      <c r="D87" s="3" t="s">
        <v>464</v>
      </c>
      <c r="E87" s="5" t="s">
        <v>465</v>
      </c>
      <c r="F87" s="16"/>
      <c r="G87" s="17"/>
      <c r="H87" s="17"/>
      <c r="I87" s="40"/>
      <c r="J87" s="39">
        <f t="shared" si="2"/>
        <v>134200</v>
      </c>
      <c r="K87" s="40">
        <v>134200</v>
      </c>
      <c r="L87" s="40">
        <v>134200</v>
      </c>
    </row>
    <row r="88" spans="1:12" ht="17.100000000000001" customHeight="1" x14ac:dyDescent="0.2">
      <c r="A88" s="3" t="s">
        <v>458</v>
      </c>
      <c r="B88" s="3" t="s">
        <v>519</v>
      </c>
      <c r="C88" s="2"/>
      <c r="D88" s="2"/>
      <c r="E88" s="5" t="s">
        <v>520</v>
      </c>
      <c r="F88" s="15">
        <f>F89+F91</f>
        <v>550000</v>
      </c>
      <c r="G88" s="13">
        <f>G89+G91</f>
        <v>-200000</v>
      </c>
      <c r="H88" s="13">
        <f>H89+H91</f>
        <v>0</v>
      </c>
      <c r="I88" s="39">
        <f>I89+I91+I99+I101+I103+I105+I93+I95+I97+I107</f>
        <v>850000</v>
      </c>
      <c r="J88" s="39">
        <f t="shared" si="2"/>
        <v>11425000</v>
      </c>
      <c r="K88" s="39">
        <f>K89+K91+K99+K101+K103+K105+K93+K95+K97+K107</f>
        <v>12275000</v>
      </c>
      <c r="L88" s="39">
        <f>L89+L91+L99+L101+L103+L105+L93+L95+L97+L107</f>
        <v>12775000</v>
      </c>
    </row>
    <row r="89" spans="1:12" ht="17.100000000000001" customHeight="1" x14ac:dyDescent="0.2">
      <c r="A89" s="3" t="s">
        <v>458</v>
      </c>
      <c r="B89" s="3" t="s">
        <v>519</v>
      </c>
      <c r="C89" s="3" t="s">
        <v>521</v>
      </c>
      <c r="D89" s="2"/>
      <c r="E89" s="5" t="s">
        <v>522</v>
      </c>
      <c r="F89" s="15">
        <f>F90</f>
        <v>350000</v>
      </c>
      <c r="G89" s="13">
        <f>G90</f>
        <v>0</v>
      </c>
      <c r="H89" s="13">
        <f>H90</f>
        <v>0</v>
      </c>
      <c r="I89" s="39">
        <f>I90</f>
        <v>350000</v>
      </c>
      <c r="J89" s="39">
        <f t="shared" si="2"/>
        <v>4150000</v>
      </c>
      <c r="K89" s="39">
        <f>K90</f>
        <v>4500000</v>
      </c>
      <c r="L89" s="39">
        <f>L90</f>
        <v>5000000</v>
      </c>
    </row>
    <row r="90" spans="1:12" ht="17.100000000000001" customHeight="1" x14ac:dyDescent="0.2">
      <c r="A90" s="3" t="s">
        <v>458</v>
      </c>
      <c r="B90" s="3" t="s">
        <v>519</v>
      </c>
      <c r="C90" s="3" t="s">
        <v>521</v>
      </c>
      <c r="D90" s="3" t="s">
        <v>464</v>
      </c>
      <c r="E90" s="5" t="s">
        <v>465</v>
      </c>
      <c r="F90" s="16">
        <v>350000</v>
      </c>
      <c r="G90" s="17"/>
      <c r="H90" s="17"/>
      <c r="I90" s="40">
        <v>350000</v>
      </c>
      <c r="J90" s="39">
        <f t="shared" si="2"/>
        <v>4150000</v>
      </c>
      <c r="K90" s="40">
        <v>4500000</v>
      </c>
      <c r="L90" s="40">
        <v>5000000</v>
      </c>
    </row>
    <row r="91" spans="1:12" ht="22.5" customHeight="1" x14ac:dyDescent="0.2">
      <c r="A91" s="3" t="s">
        <v>458</v>
      </c>
      <c r="B91" s="3" t="s">
        <v>519</v>
      </c>
      <c r="C91" s="3" t="s">
        <v>523</v>
      </c>
      <c r="D91" s="2"/>
      <c r="E91" s="5" t="s">
        <v>212</v>
      </c>
      <c r="F91" s="16">
        <f>F92</f>
        <v>200000</v>
      </c>
      <c r="G91" s="19">
        <f>G92</f>
        <v>-200000</v>
      </c>
      <c r="H91" s="19">
        <f>H92</f>
        <v>0</v>
      </c>
      <c r="I91" s="41">
        <f>I92</f>
        <v>0</v>
      </c>
      <c r="J91" s="39">
        <f t="shared" si="2"/>
        <v>6275000</v>
      </c>
      <c r="K91" s="41">
        <f>K92</f>
        <v>6275000</v>
      </c>
      <c r="L91" s="41">
        <f>L92</f>
        <v>6275000</v>
      </c>
    </row>
    <row r="92" spans="1:12" ht="17.100000000000001" customHeight="1" x14ac:dyDescent="0.2">
      <c r="A92" s="3" t="s">
        <v>458</v>
      </c>
      <c r="B92" s="3" t="s">
        <v>519</v>
      </c>
      <c r="C92" s="3" t="s">
        <v>523</v>
      </c>
      <c r="D92" s="3" t="s">
        <v>464</v>
      </c>
      <c r="E92" s="5" t="s">
        <v>465</v>
      </c>
      <c r="F92" s="16">
        <v>200000</v>
      </c>
      <c r="G92" s="17">
        <v>-200000</v>
      </c>
      <c r="H92" s="17"/>
      <c r="I92" s="40">
        <v>0</v>
      </c>
      <c r="J92" s="39">
        <f t="shared" si="2"/>
        <v>6275000</v>
      </c>
      <c r="K92" s="40">
        <v>6275000</v>
      </c>
      <c r="L92" s="40">
        <v>6275000</v>
      </c>
    </row>
    <row r="93" spans="1:12" ht="33.75" customHeight="1" x14ac:dyDescent="0.2">
      <c r="A93" s="3" t="s">
        <v>458</v>
      </c>
      <c r="B93" s="3" t="s">
        <v>519</v>
      </c>
      <c r="C93" s="3" t="s">
        <v>622</v>
      </c>
      <c r="D93" s="3"/>
      <c r="E93" s="31" t="s">
        <v>372</v>
      </c>
      <c r="F93" s="16"/>
      <c r="G93" s="17"/>
      <c r="H93" s="17"/>
      <c r="I93" s="40">
        <f>I94</f>
        <v>500000</v>
      </c>
      <c r="J93" s="39">
        <f t="shared" si="2"/>
        <v>-500000</v>
      </c>
      <c r="K93" s="40">
        <f>K94</f>
        <v>0</v>
      </c>
      <c r="L93" s="40">
        <f>L94</f>
        <v>0</v>
      </c>
    </row>
    <row r="94" spans="1:12" ht="17.100000000000001" customHeight="1" x14ac:dyDescent="0.2">
      <c r="A94" s="3" t="s">
        <v>458</v>
      </c>
      <c r="B94" s="3" t="s">
        <v>519</v>
      </c>
      <c r="C94" s="3" t="s">
        <v>622</v>
      </c>
      <c r="D94" s="3" t="s">
        <v>624</v>
      </c>
      <c r="E94" s="31" t="s">
        <v>625</v>
      </c>
      <c r="F94" s="16"/>
      <c r="G94" s="17"/>
      <c r="H94" s="17"/>
      <c r="I94" s="40">
        <v>500000</v>
      </c>
      <c r="J94" s="39">
        <f t="shared" si="2"/>
        <v>-500000</v>
      </c>
      <c r="K94" s="40">
        <v>0</v>
      </c>
      <c r="L94" s="40">
        <v>0</v>
      </c>
    </row>
    <row r="95" spans="1:12" ht="46.5" hidden="1" customHeight="1" x14ac:dyDescent="0.2">
      <c r="A95" s="3" t="s">
        <v>458</v>
      </c>
      <c r="B95" s="3" t="s">
        <v>519</v>
      </c>
      <c r="C95" s="3" t="s">
        <v>175</v>
      </c>
      <c r="D95" s="3"/>
      <c r="E95" s="31" t="s">
        <v>213</v>
      </c>
      <c r="F95" s="16"/>
      <c r="G95" s="17"/>
      <c r="H95" s="17"/>
      <c r="I95" s="40">
        <f>I96</f>
        <v>0</v>
      </c>
      <c r="J95" s="39">
        <f t="shared" si="2"/>
        <v>0</v>
      </c>
      <c r="K95" s="40">
        <f>K96</f>
        <v>0</v>
      </c>
      <c r="L95" s="40">
        <f>L96</f>
        <v>0</v>
      </c>
    </row>
    <row r="96" spans="1:12" ht="17.100000000000001" hidden="1" customHeight="1" x14ac:dyDescent="0.2">
      <c r="A96" s="3" t="s">
        <v>458</v>
      </c>
      <c r="B96" s="3" t="s">
        <v>519</v>
      </c>
      <c r="C96" s="3" t="s">
        <v>175</v>
      </c>
      <c r="D96" s="3" t="s">
        <v>624</v>
      </c>
      <c r="E96" s="31" t="s">
        <v>625</v>
      </c>
      <c r="F96" s="16"/>
      <c r="G96" s="17"/>
      <c r="H96" s="17"/>
      <c r="I96" s="40">
        <v>0</v>
      </c>
      <c r="J96" s="39">
        <f t="shared" si="2"/>
        <v>0</v>
      </c>
      <c r="K96" s="40"/>
      <c r="L96" s="40"/>
    </row>
    <row r="97" spans="1:12" ht="38.25" customHeight="1" x14ac:dyDescent="0.2">
      <c r="A97" s="3" t="s">
        <v>458</v>
      </c>
      <c r="B97" s="3" t="s">
        <v>519</v>
      </c>
      <c r="C97" s="3" t="s">
        <v>176</v>
      </c>
      <c r="D97" s="3"/>
      <c r="E97" s="31" t="s">
        <v>214</v>
      </c>
      <c r="F97" s="16"/>
      <c r="G97" s="17"/>
      <c r="H97" s="17"/>
      <c r="I97" s="40">
        <f>I98</f>
        <v>0</v>
      </c>
      <c r="J97" s="39">
        <f t="shared" si="2"/>
        <v>1000000</v>
      </c>
      <c r="K97" s="40">
        <f>K98</f>
        <v>1000000</v>
      </c>
      <c r="L97" s="40">
        <f>L98</f>
        <v>1000000</v>
      </c>
    </row>
    <row r="98" spans="1:12" ht="17.100000000000001" customHeight="1" x14ac:dyDescent="0.2">
      <c r="A98" s="3" t="s">
        <v>458</v>
      </c>
      <c r="B98" s="3" t="s">
        <v>519</v>
      </c>
      <c r="C98" s="3" t="s">
        <v>176</v>
      </c>
      <c r="D98" s="3" t="s">
        <v>624</v>
      </c>
      <c r="E98" s="31" t="s">
        <v>625</v>
      </c>
      <c r="F98" s="16"/>
      <c r="G98" s="17"/>
      <c r="H98" s="17"/>
      <c r="I98" s="40">
        <v>0</v>
      </c>
      <c r="J98" s="39">
        <f t="shared" si="2"/>
        <v>1000000</v>
      </c>
      <c r="K98" s="40">
        <v>1000000</v>
      </c>
      <c r="L98" s="40">
        <v>1000000</v>
      </c>
    </row>
    <row r="99" spans="1:12" ht="21" hidden="1" x14ac:dyDescent="0.2">
      <c r="A99" s="3" t="s">
        <v>458</v>
      </c>
      <c r="B99" s="3" t="s">
        <v>519</v>
      </c>
      <c r="C99" s="3" t="s">
        <v>303</v>
      </c>
      <c r="D99" s="3"/>
      <c r="E99" s="31" t="s">
        <v>325</v>
      </c>
      <c r="F99" s="16"/>
      <c r="G99" s="17"/>
      <c r="H99" s="17"/>
      <c r="I99" s="40">
        <f>I100</f>
        <v>0</v>
      </c>
      <c r="J99" s="39">
        <f t="shared" si="2"/>
        <v>0</v>
      </c>
      <c r="K99" s="40">
        <f>K100</f>
        <v>0</v>
      </c>
      <c r="L99" s="40">
        <f>L100</f>
        <v>0</v>
      </c>
    </row>
    <row r="100" spans="1:12" ht="17.100000000000001" hidden="1" customHeight="1" x14ac:dyDescent="0.2">
      <c r="A100" s="3" t="s">
        <v>458</v>
      </c>
      <c r="B100" s="3" t="s">
        <v>519</v>
      </c>
      <c r="C100" s="3" t="s">
        <v>303</v>
      </c>
      <c r="D100" s="3" t="s">
        <v>624</v>
      </c>
      <c r="E100" s="31" t="s">
        <v>625</v>
      </c>
      <c r="F100" s="16"/>
      <c r="G100" s="17"/>
      <c r="H100" s="17"/>
      <c r="I100" s="40"/>
      <c r="J100" s="39">
        <f t="shared" si="2"/>
        <v>0</v>
      </c>
      <c r="K100" s="40"/>
      <c r="L100" s="40"/>
    </row>
    <row r="101" spans="1:12" ht="46.5" hidden="1" customHeight="1" x14ac:dyDescent="0.2">
      <c r="A101" s="3" t="s">
        <v>458</v>
      </c>
      <c r="B101" s="3" t="s">
        <v>519</v>
      </c>
      <c r="C101" s="3" t="s">
        <v>175</v>
      </c>
      <c r="D101" s="3"/>
      <c r="E101" s="5" t="s">
        <v>213</v>
      </c>
      <c r="F101" s="16"/>
      <c r="G101" s="17"/>
      <c r="H101" s="17"/>
      <c r="I101" s="40">
        <f>I102</f>
        <v>0</v>
      </c>
      <c r="J101" s="39">
        <f t="shared" si="2"/>
        <v>0</v>
      </c>
      <c r="K101" s="40">
        <f>K102</f>
        <v>0</v>
      </c>
      <c r="L101" s="40">
        <f>L102</f>
        <v>0</v>
      </c>
    </row>
    <row r="102" spans="1:12" ht="17.100000000000001" hidden="1" customHeight="1" x14ac:dyDescent="0.2">
      <c r="A102" s="3" t="s">
        <v>458</v>
      </c>
      <c r="B102" s="3" t="s">
        <v>519</v>
      </c>
      <c r="C102" s="3" t="s">
        <v>175</v>
      </c>
      <c r="D102" s="3" t="s">
        <v>624</v>
      </c>
      <c r="E102" s="31" t="s">
        <v>625</v>
      </c>
      <c r="F102" s="16"/>
      <c r="G102" s="17"/>
      <c r="H102" s="17"/>
      <c r="I102" s="40"/>
      <c r="J102" s="39">
        <f t="shared" si="2"/>
        <v>0</v>
      </c>
      <c r="K102" s="40"/>
      <c r="L102" s="40"/>
    </row>
    <row r="103" spans="1:12" ht="31.5" hidden="1" x14ac:dyDescent="0.2">
      <c r="A103" s="3" t="s">
        <v>458</v>
      </c>
      <c r="B103" s="3" t="s">
        <v>519</v>
      </c>
      <c r="C103" s="3" t="s">
        <v>176</v>
      </c>
      <c r="D103" s="3"/>
      <c r="E103" s="5" t="s">
        <v>214</v>
      </c>
      <c r="F103" s="16"/>
      <c r="G103" s="17"/>
      <c r="H103" s="17"/>
      <c r="I103" s="40">
        <f>I104</f>
        <v>0</v>
      </c>
      <c r="J103" s="39">
        <f t="shared" si="2"/>
        <v>0</v>
      </c>
      <c r="K103" s="40">
        <f>K104</f>
        <v>0</v>
      </c>
      <c r="L103" s="40">
        <f>L104</f>
        <v>0</v>
      </c>
    </row>
    <row r="104" spans="1:12" ht="17.100000000000001" hidden="1" customHeight="1" x14ac:dyDescent="0.2">
      <c r="A104" s="3" t="s">
        <v>458</v>
      </c>
      <c r="B104" s="3" t="s">
        <v>519</v>
      </c>
      <c r="C104" s="3" t="s">
        <v>176</v>
      </c>
      <c r="D104" s="3" t="s">
        <v>624</v>
      </c>
      <c r="E104" s="31" t="s">
        <v>625</v>
      </c>
      <c r="F104" s="16"/>
      <c r="G104" s="17"/>
      <c r="H104" s="17"/>
      <c r="I104" s="40"/>
      <c r="J104" s="39">
        <f t="shared" si="2"/>
        <v>0</v>
      </c>
      <c r="K104" s="40"/>
      <c r="L104" s="40"/>
    </row>
    <row r="105" spans="1:12" ht="24" hidden="1" customHeight="1" x14ac:dyDescent="0.2">
      <c r="A105" s="3" t="s">
        <v>458</v>
      </c>
      <c r="B105" s="3" t="s">
        <v>519</v>
      </c>
      <c r="C105" s="3" t="s">
        <v>279</v>
      </c>
      <c r="D105" s="3"/>
      <c r="E105" s="31" t="s">
        <v>292</v>
      </c>
      <c r="F105" s="16"/>
      <c r="G105" s="17"/>
      <c r="H105" s="17"/>
      <c r="I105" s="40">
        <f>I106</f>
        <v>0</v>
      </c>
      <c r="J105" s="39">
        <f t="shared" si="2"/>
        <v>0</v>
      </c>
      <c r="K105" s="40">
        <f>K106</f>
        <v>0</v>
      </c>
      <c r="L105" s="40">
        <f>L106</f>
        <v>0</v>
      </c>
    </row>
    <row r="106" spans="1:12" ht="17.100000000000001" hidden="1" customHeight="1" x14ac:dyDescent="0.2">
      <c r="A106" s="3" t="s">
        <v>458</v>
      </c>
      <c r="B106" s="3" t="s">
        <v>519</v>
      </c>
      <c r="C106" s="3" t="s">
        <v>279</v>
      </c>
      <c r="D106" s="3" t="s">
        <v>464</v>
      </c>
      <c r="E106" s="31" t="s">
        <v>465</v>
      </c>
      <c r="F106" s="16"/>
      <c r="G106" s="17"/>
      <c r="H106" s="17"/>
      <c r="I106" s="40"/>
      <c r="J106" s="39">
        <f t="shared" si="2"/>
        <v>0</v>
      </c>
      <c r="K106" s="40"/>
      <c r="L106" s="40"/>
    </row>
    <row r="107" spans="1:12" ht="29.25" customHeight="1" x14ac:dyDescent="0.2">
      <c r="A107" s="3" t="s">
        <v>458</v>
      </c>
      <c r="B107" s="3" t="s">
        <v>519</v>
      </c>
      <c r="C107" s="3" t="s">
        <v>358</v>
      </c>
      <c r="D107" s="3"/>
      <c r="E107" s="59" t="s">
        <v>405</v>
      </c>
      <c r="F107" s="16"/>
      <c r="G107" s="17"/>
      <c r="H107" s="17"/>
      <c r="I107" s="40">
        <f>I108+I109</f>
        <v>0</v>
      </c>
      <c r="J107" s="39">
        <f t="shared" si="2"/>
        <v>500000</v>
      </c>
      <c r="K107" s="40">
        <f>K108+K109</f>
        <v>500000</v>
      </c>
      <c r="L107" s="40">
        <f>L108+L109</f>
        <v>500000</v>
      </c>
    </row>
    <row r="108" spans="1:12" ht="17.100000000000001" customHeight="1" x14ac:dyDescent="0.2">
      <c r="A108" s="3" t="s">
        <v>458</v>
      </c>
      <c r="B108" s="3" t="s">
        <v>519</v>
      </c>
      <c r="C108" s="3" t="s">
        <v>358</v>
      </c>
      <c r="D108" s="3" t="s">
        <v>482</v>
      </c>
      <c r="E108" s="31" t="s">
        <v>483</v>
      </c>
      <c r="F108" s="16"/>
      <c r="G108" s="17"/>
      <c r="H108" s="17"/>
      <c r="I108" s="40"/>
      <c r="J108" s="39">
        <f t="shared" si="2"/>
        <v>500000</v>
      </c>
      <c r="K108" s="40">
        <v>500000</v>
      </c>
      <c r="L108" s="40">
        <v>500000</v>
      </c>
    </row>
    <row r="109" spans="1:12" ht="17.100000000000001" customHeight="1" x14ac:dyDescent="0.2">
      <c r="A109" s="3" t="s">
        <v>458</v>
      </c>
      <c r="B109" s="3" t="s">
        <v>519</v>
      </c>
      <c r="C109" s="3" t="s">
        <v>358</v>
      </c>
      <c r="D109" s="3" t="s">
        <v>464</v>
      </c>
      <c r="E109" s="31" t="s">
        <v>465</v>
      </c>
      <c r="F109" s="16"/>
      <c r="G109" s="17"/>
      <c r="H109" s="17"/>
      <c r="I109" s="40">
        <v>0</v>
      </c>
      <c r="J109" s="39">
        <f t="shared" si="2"/>
        <v>0</v>
      </c>
      <c r="K109" s="40">
        <v>0</v>
      </c>
      <c r="L109" s="40">
        <v>0</v>
      </c>
    </row>
    <row r="110" spans="1:12" ht="17.100000000000001" customHeight="1" x14ac:dyDescent="0.2">
      <c r="A110" s="3" t="s">
        <v>458</v>
      </c>
      <c r="B110" s="3" t="s">
        <v>87</v>
      </c>
      <c r="C110" s="3"/>
      <c r="D110" s="3"/>
      <c r="E110" s="31" t="s">
        <v>88</v>
      </c>
      <c r="F110" s="16"/>
      <c r="G110" s="17"/>
      <c r="H110" s="17"/>
      <c r="I110" s="40">
        <f>I125+I119+I121+I129+I111+I113+I115+I117+I123+I127</f>
        <v>4848300</v>
      </c>
      <c r="J110" s="39">
        <f t="shared" si="2"/>
        <v>1142700</v>
      </c>
      <c r="K110" s="40">
        <f>K125+K119+K121+K129+K111+K113+K115+K117+K123+K127</f>
        <v>5991000</v>
      </c>
      <c r="L110" s="40">
        <f>L125+L119+L121+L129+L111+L113+L115+L117+L123+L127</f>
        <v>6465000</v>
      </c>
    </row>
    <row r="111" spans="1:12" ht="36" hidden="1" customHeight="1" x14ac:dyDescent="0.2">
      <c r="A111" s="3" t="s">
        <v>458</v>
      </c>
      <c r="B111" s="3" t="s">
        <v>87</v>
      </c>
      <c r="C111" s="3" t="s">
        <v>304</v>
      </c>
      <c r="D111" s="3"/>
      <c r="E111" s="31" t="s">
        <v>326</v>
      </c>
      <c r="F111" s="16"/>
      <c r="G111" s="17"/>
      <c r="H111" s="17"/>
      <c r="I111" s="40">
        <f>I112</f>
        <v>0</v>
      </c>
      <c r="J111" s="39">
        <f t="shared" si="2"/>
        <v>0</v>
      </c>
      <c r="K111" s="40">
        <f>K112</f>
        <v>0</v>
      </c>
      <c r="L111" s="40">
        <f>L112</f>
        <v>0</v>
      </c>
    </row>
    <row r="112" spans="1:12" ht="17.100000000000001" hidden="1" customHeight="1" x14ac:dyDescent="0.2">
      <c r="A112" s="3" t="s">
        <v>458</v>
      </c>
      <c r="B112" s="3" t="s">
        <v>87</v>
      </c>
      <c r="C112" s="3" t="s">
        <v>304</v>
      </c>
      <c r="D112" s="3" t="s">
        <v>624</v>
      </c>
      <c r="E112" s="31" t="s">
        <v>625</v>
      </c>
      <c r="F112" s="16"/>
      <c r="G112" s="17"/>
      <c r="H112" s="17"/>
      <c r="I112" s="40"/>
      <c r="J112" s="39">
        <f t="shared" si="2"/>
        <v>0</v>
      </c>
      <c r="K112" s="40"/>
      <c r="L112" s="40"/>
    </row>
    <row r="113" spans="1:12" ht="33" hidden="1" customHeight="1" x14ac:dyDescent="0.2">
      <c r="A113" s="3" t="s">
        <v>458</v>
      </c>
      <c r="B113" s="3" t="s">
        <v>87</v>
      </c>
      <c r="C113" s="3" t="s">
        <v>305</v>
      </c>
      <c r="D113" s="3"/>
      <c r="E113" s="31" t="s">
        <v>326</v>
      </c>
      <c r="F113" s="16"/>
      <c r="G113" s="17"/>
      <c r="H113" s="17"/>
      <c r="I113" s="40">
        <f>I114</f>
        <v>0</v>
      </c>
      <c r="J113" s="39">
        <f t="shared" si="2"/>
        <v>0</v>
      </c>
      <c r="K113" s="40">
        <f>K114</f>
        <v>0</v>
      </c>
      <c r="L113" s="40">
        <f>L114</f>
        <v>0</v>
      </c>
    </row>
    <row r="114" spans="1:12" ht="17.100000000000001" hidden="1" customHeight="1" x14ac:dyDescent="0.2">
      <c r="A114" s="3" t="s">
        <v>458</v>
      </c>
      <c r="B114" s="3" t="s">
        <v>87</v>
      </c>
      <c r="C114" s="3" t="s">
        <v>305</v>
      </c>
      <c r="D114" s="3" t="s">
        <v>476</v>
      </c>
      <c r="E114" s="31" t="s">
        <v>477</v>
      </c>
      <c r="F114" s="16"/>
      <c r="G114" s="17"/>
      <c r="H114" s="17"/>
      <c r="I114" s="40"/>
      <c r="J114" s="39">
        <f t="shared" si="2"/>
        <v>0</v>
      </c>
      <c r="K114" s="40"/>
      <c r="L114" s="40"/>
    </row>
    <row r="115" spans="1:12" ht="33.75" hidden="1" customHeight="1" x14ac:dyDescent="0.2">
      <c r="A115" s="3" t="s">
        <v>458</v>
      </c>
      <c r="B115" s="3" t="s">
        <v>87</v>
      </c>
      <c r="C115" s="3" t="s">
        <v>306</v>
      </c>
      <c r="D115" s="3"/>
      <c r="E115" s="31" t="s">
        <v>327</v>
      </c>
      <c r="F115" s="16"/>
      <c r="G115" s="17"/>
      <c r="H115" s="17"/>
      <c r="I115" s="40">
        <f>I116</f>
        <v>0</v>
      </c>
      <c r="J115" s="39">
        <f t="shared" si="2"/>
        <v>0</v>
      </c>
      <c r="K115" s="40">
        <f>K116</f>
        <v>0</v>
      </c>
      <c r="L115" s="40">
        <f>L116</f>
        <v>0</v>
      </c>
    </row>
    <row r="116" spans="1:12" ht="17.100000000000001" hidden="1" customHeight="1" x14ac:dyDescent="0.2">
      <c r="A116" s="3" t="s">
        <v>458</v>
      </c>
      <c r="B116" s="3" t="s">
        <v>87</v>
      </c>
      <c r="C116" s="3" t="s">
        <v>306</v>
      </c>
      <c r="D116" s="3" t="s">
        <v>624</v>
      </c>
      <c r="E116" s="31" t="s">
        <v>625</v>
      </c>
      <c r="F116" s="16"/>
      <c r="G116" s="17"/>
      <c r="H116" s="17"/>
      <c r="I116" s="40"/>
      <c r="J116" s="39">
        <f t="shared" si="2"/>
        <v>0</v>
      </c>
      <c r="K116" s="40"/>
      <c r="L116" s="40"/>
    </row>
    <row r="117" spans="1:12" ht="42" hidden="1" x14ac:dyDescent="0.2">
      <c r="A117" s="3" t="s">
        <v>458</v>
      </c>
      <c r="B117" s="3" t="s">
        <v>87</v>
      </c>
      <c r="C117" s="3" t="s">
        <v>307</v>
      </c>
      <c r="D117" s="3"/>
      <c r="E117" s="31" t="s">
        <v>328</v>
      </c>
      <c r="F117" s="16"/>
      <c r="G117" s="17"/>
      <c r="H117" s="17"/>
      <c r="I117" s="40">
        <f>I118</f>
        <v>0</v>
      </c>
      <c r="J117" s="39">
        <f t="shared" si="2"/>
        <v>0</v>
      </c>
      <c r="K117" s="40">
        <f>K118</f>
        <v>0</v>
      </c>
      <c r="L117" s="40">
        <f>L118</f>
        <v>0</v>
      </c>
    </row>
    <row r="118" spans="1:12" ht="17.100000000000001" hidden="1" customHeight="1" x14ac:dyDescent="0.2">
      <c r="A118" s="3" t="s">
        <v>458</v>
      </c>
      <c r="B118" s="3" t="s">
        <v>87</v>
      </c>
      <c r="C118" s="3" t="s">
        <v>307</v>
      </c>
      <c r="D118" s="3" t="s">
        <v>476</v>
      </c>
      <c r="E118" s="31" t="s">
        <v>477</v>
      </c>
      <c r="F118" s="16"/>
      <c r="G118" s="17"/>
      <c r="H118" s="17"/>
      <c r="I118" s="40"/>
      <c r="J118" s="39">
        <f t="shared" si="2"/>
        <v>0</v>
      </c>
      <c r="K118" s="40"/>
      <c r="L118" s="40"/>
    </row>
    <row r="119" spans="1:12" ht="21" hidden="1" x14ac:dyDescent="0.2">
      <c r="A119" s="3" t="s">
        <v>458</v>
      </c>
      <c r="B119" s="3" t="s">
        <v>87</v>
      </c>
      <c r="C119" s="3" t="s">
        <v>177</v>
      </c>
      <c r="D119" s="3"/>
      <c r="E119" s="5" t="s">
        <v>215</v>
      </c>
      <c r="F119" s="16"/>
      <c r="G119" s="17"/>
      <c r="H119" s="17"/>
      <c r="I119" s="40">
        <f>I120</f>
        <v>0</v>
      </c>
      <c r="J119" s="39">
        <f t="shared" si="2"/>
        <v>0</v>
      </c>
      <c r="K119" s="40">
        <f>K120</f>
        <v>0</v>
      </c>
      <c r="L119" s="40">
        <f>L120</f>
        <v>0</v>
      </c>
    </row>
    <row r="120" spans="1:12" ht="17.100000000000001" hidden="1" customHeight="1" x14ac:dyDescent="0.2">
      <c r="A120" s="3" t="s">
        <v>458</v>
      </c>
      <c r="B120" s="3" t="s">
        <v>87</v>
      </c>
      <c r="C120" s="3" t="s">
        <v>177</v>
      </c>
      <c r="D120" s="3" t="s">
        <v>624</v>
      </c>
      <c r="E120" s="31" t="s">
        <v>625</v>
      </c>
      <c r="F120" s="16"/>
      <c r="G120" s="17"/>
      <c r="H120" s="17"/>
      <c r="I120" s="40"/>
      <c r="J120" s="39">
        <f t="shared" si="2"/>
        <v>0</v>
      </c>
      <c r="K120" s="40"/>
      <c r="L120" s="40"/>
    </row>
    <row r="121" spans="1:12" ht="21" hidden="1" x14ac:dyDescent="0.2">
      <c r="A121" s="3" t="s">
        <v>458</v>
      </c>
      <c r="B121" s="3" t="s">
        <v>87</v>
      </c>
      <c r="C121" s="3" t="s">
        <v>178</v>
      </c>
      <c r="D121" s="3"/>
      <c r="E121" s="5" t="s">
        <v>216</v>
      </c>
      <c r="F121" s="16"/>
      <c r="G121" s="17"/>
      <c r="H121" s="17"/>
      <c r="I121" s="40">
        <f>I122</f>
        <v>0</v>
      </c>
      <c r="J121" s="39">
        <f t="shared" si="2"/>
        <v>0</v>
      </c>
      <c r="K121" s="40">
        <f>K122</f>
        <v>0</v>
      </c>
      <c r="L121" s="40">
        <f>L122</f>
        <v>0</v>
      </c>
    </row>
    <row r="122" spans="1:12" ht="17.100000000000001" hidden="1" customHeight="1" x14ac:dyDescent="0.2">
      <c r="A122" s="3" t="s">
        <v>458</v>
      </c>
      <c r="B122" s="3" t="s">
        <v>87</v>
      </c>
      <c r="C122" s="3" t="s">
        <v>178</v>
      </c>
      <c r="D122" s="3" t="s">
        <v>476</v>
      </c>
      <c r="E122" s="5" t="s">
        <v>465</v>
      </c>
      <c r="F122" s="16"/>
      <c r="G122" s="17"/>
      <c r="H122" s="17"/>
      <c r="I122" s="40"/>
      <c r="J122" s="39">
        <f t="shared" si="2"/>
        <v>0</v>
      </c>
      <c r="K122" s="40"/>
      <c r="L122" s="40"/>
    </row>
    <row r="123" spans="1:12" ht="42" hidden="1" x14ac:dyDescent="0.2">
      <c r="A123" s="3" t="s">
        <v>458</v>
      </c>
      <c r="B123" s="3" t="s">
        <v>87</v>
      </c>
      <c r="C123" s="3" t="s">
        <v>308</v>
      </c>
      <c r="D123" s="3"/>
      <c r="E123" s="31" t="s">
        <v>338</v>
      </c>
      <c r="F123" s="16"/>
      <c r="G123" s="17"/>
      <c r="H123" s="17"/>
      <c r="I123" s="40">
        <f>I124</f>
        <v>0</v>
      </c>
      <c r="J123" s="39">
        <f t="shared" si="2"/>
        <v>0</v>
      </c>
      <c r="K123" s="40">
        <f>K124</f>
        <v>0</v>
      </c>
      <c r="L123" s="40">
        <f>L124</f>
        <v>0</v>
      </c>
    </row>
    <row r="124" spans="1:12" ht="17.100000000000001" hidden="1" customHeight="1" x14ac:dyDescent="0.2">
      <c r="A124" s="3" t="s">
        <v>458</v>
      </c>
      <c r="B124" s="3" t="s">
        <v>87</v>
      </c>
      <c r="C124" s="3" t="s">
        <v>308</v>
      </c>
      <c r="D124" s="3" t="s">
        <v>476</v>
      </c>
      <c r="E124" s="31" t="s">
        <v>477</v>
      </c>
      <c r="F124" s="16"/>
      <c r="G124" s="17"/>
      <c r="H124" s="17"/>
      <c r="I124" s="40"/>
      <c r="J124" s="39">
        <f t="shared" si="2"/>
        <v>0</v>
      </c>
      <c r="K124" s="40"/>
      <c r="L124" s="40"/>
    </row>
    <row r="125" spans="1:12" hidden="1" x14ac:dyDescent="0.2">
      <c r="A125" s="3" t="s">
        <v>458</v>
      </c>
      <c r="B125" s="3" t="s">
        <v>87</v>
      </c>
      <c r="C125" s="3" t="s">
        <v>309</v>
      </c>
      <c r="D125" s="3"/>
      <c r="E125" s="31" t="s">
        <v>339</v>
      </c>
      <c r="F125" s="16"/>
      <c r="G125" s="17"/>
      <c r="H125" s="17"/>
      <c r="I125" s="40">
        <f>I126</f>
        <v>0</v>
      </c>
      <c r="J125" s="39">
        <f t="shared" si="2"/>
        <v>0</v>
      </c>
      <c r="K125" s="40">
        <f>K126</f>
        <v>0</v>
      </c>
      <c r="L125" s="40">
        <f>L126</f>
        <v>0</v>
      </c>
    </row>
    <row r="126" spans="1:12" ht="17.100000000000001" hidden="1" customHeight="1" x14ac:dyDescent="0.2">
      <c r="A126" s="3" t="s">
        <v>458</v>
      </c>
      <c r="B126" s="3" t="s">
        <v>87</v>
      </c>
      <c r="C126" s="3" t="s">
        <v>309</v>
      </c>
      <c r="D126" s="3" t="s">
        <v>526</v>
      </c>
      <c r="E126" s="31" t="s">
        <v>527</v>
      </c>
      <c r="F126" s="16"/>
      <c r="G126" s="17"/>
      <c r="H126" s="17"/>
      <c r="I126" s="40"/>
      <c r="J126" s="39">
        <f t="shared" si="2"/>
        <v>0</v>
      </c>
      <c r="K126" s="40"/>
      <c r="L126" s="40"/>
    </row>
    <row r="127" spans="1:12" ht="46.5" customHeight="1" x14ac:dyDescent="0.2">
      <c r="A127" s="3" t="s">
        <v>458</v>
      </c>
      <c r="B127" s="3" t="s">
        <v>87</v>
      </c>
      <c r="C127" s="3" t="s">
        <v>376</v>
      </c>
      <c r="D127" s="3"/>
      <c r="E127" s="31" t="s">
        <v>525</v>
      </c>
      <c r="F127" s="16"/>
      <c r="G127" s="17"/>
      <c r="H127" s="17"/>
      <c r="I127" s="40">
        <f>I128</f>
        <v>4848300</v>
      </c>
      <c r="J127" s="39">
        <f t="shared" si="2"/>
        <v>-4848300</v>
      </c>
      <c r="K127" s="40">
        <f>K128</f>
        <v>0</v>
      </c>
      <c r="L127" s="40">
        <f>L128</f>
        <v>0</v>
      </c>
    </row>
    <row r="128" spans="1:12" ht="17.100000000000001" customHeight="1" x14ac:dyDescent="0.2">
      <c r="A128" s="3" t="s">
        <v>458</v>
      </c>
      <c r="B128" s="3" t="s">
        <v>87</v>
      </c>
      <c r="C128" s="3" t="s">
        <v>376</v>
      </c>
      <c r="D128" s="3" t="s">
        <v>526</v>
      </c>
      <c r="E128" s="31" t="s">
        <v>527</v>
      </c>
      <c r="F128" s="16"/>
      <c r="G128" s="17"/>
      <c r="H128" s="17"/>
      <c r="I128" s="40">
        <v>4848300</v>
      </c>
      <c r="J128" s="39">
        <f t="shared" si="2"/>
        <v>-4848300</v>
      </c>
      <c r="K128" s="40">
        <v>0</v>
      </c>
      <c r="L128" s="40">
        <v>0</v>
      </c>
    </row>
    <row r="129" spans="1:12" ht="41.25" customHeight="1" x14ac:dyDescent="0.2">
      <c r="A129" s="3" t="s">
        <v>458</v>
      </c>
      <c r="B129" s="3" t="s">
        <v>87</v>
      </c>
      <c r="C129" s="3" t="s">
        <v>524</v>
      </c>
      <c r="D129" s="3"/>
      <c r="E129" s="31" t="s">
        <v>525</v>
      </c>
      <c r="F129" s="16"/>
      <c r="G129" s="17"/>
      <c r="H129" s="17"/>
      <c r="I129" s="40">
        <f>I130</f>
        <v>0</v>
      </c>
      <c r="J129" s="39">
        <f t="shared" si="2"/>
        <v>5991000</v>
      </c>
      <c r="K129" s="40">
        <f>K130</f>
        <v>5991000</v>
      </c>
      <c r="L129" s="40">
        <f>L130</f>
        <v>6465000</v>
      </c>
    </row>
    <row r="130" spans="1:12" ht="14.25" customHeight="1" x14ac:dyDescent="0.2">
      <c r="A130" s="3" t="s">
        <v>458</v>
      </c>
      <c r="B130" s="3" t="s">
        <v>87</v>
      </c>
      <c r="C130" s="3" t="s">
        <v>524</v>
      </c>
      <c r="D130" s="3" t="s">
        <v>526</v>
      </c>
      <c r="E130" s="31" t="s">
        <v>527</v>
      </c>
      <c r="F130" s="16"/>
      <c r="G130" s="17"/>
      <c r="H130" s="17"/>
      <c r="I130" s="40"/>
      <c r="J130" s="39">
        <f t="shared" si="2"/>
        <v>5991000</v>
      </c>
      <c r="K130" s="40">
        <v>5991000</v>
      </c>
      <c r="L130" s="40">
        <v>6465000</v>
      </c>
    </row>
    <row r="131" spans="1:12" ht="17.100000000000001" customHeight="1" x14ac:dyDescent="0.2">
      <c r="A131" s="3" t="s">
        <v>458</v>
      </c>
      <c r="B131" s="3" t="s">
        <v>528</v>
      </c>
      <c r="C131" s="2"/>
      <c r="D131" s="2"/>
      <c r="E131" s="5" t="s">
        <v>529</v>
      </c>
      <c r="F131" s="15">
        <f>F134+F138</f>
        <v>2422940</v>
      </c>
      <c r="G131" s="13">
        <f>G134+G138</f>
        <v>761006</v>
      </c>
      <c r="H131" s="13">
        <f>H134+H138</f>
        <v>2415320</v>
      </c>
      <c r="I131" s="39">
        <f>I134+I138+I136+I132</f>
        <v>3203395</v>
      </c>
      <c r="J131" s="39">
        <f t="shared" si="2"/>
        <v>-200161</v>
      </c>
      <c r="K131" s="39">
        <f>K134+K138+K136+K132</f>
        <v>3003234</v>
      </c>
      <c r="L131" s="39">
        <f>L134+L138+L136+L132</f>
        <v>3003234</v>
      </c>
    </row>
    <row r="132" spans="1:12" ht="15" hidden="1" customHeight="1" x14ac:dyDescent="0.2">
      <c r="A132" s="3" t="s">
        <v>458</v>
      </c>
      <c r="B132" s="3" t="s">
        <v>528</v>
      </c>
      <c r="C132" s="2">
        <v>4219900</v>
      </c>
      <c r="D132" s="2"/>
      <c r="E132" s="31" t="s">
        <v>531</v>
      </c>
      <c r="F132" s="15"/>
      <c r="G132" s="13"/>
      <c r="H132" s="13"/>
      <c r="I132" s="39">
        <f>I133</f>
        <v>0</v>
      </c>
      <c r="J132" s="39">
        <f t="shared" si="2"/>
        <v>0</v>
      </c>
      <c r="K132" s="39">
        <f>K133</f>
        <v>0</v>
      </c>
      <c r="L132" s="39">
        <f>L133</f>
        <v>0</v>
      </c>
    </row>
    <row r="133" spans="1:12" ht="17.100000000000001" hidden="1" customHeight="1" x14ac:dyDescent="0.2">
      <c r="A133" s="3" t="s">
        <v>458</v>
      </c>
      <c r="B133" s="3" t="s">
        <v>528</v>
      </c>
      <c r="C133" s="2">
        <v>4219900</v>
      </c>
      <c r="D133" s="3" t="s">
        <v>482</v>
      </c>
      <c r="E133" s="31" t="s">
        <v>483</v>
      </c>
      <c r="F133" s="15"/>
      <c r="G133" s="13"/>
      <c r="H133" s="13"/>
      <c r="I133" s="39"/>
      <c r="J133" s="39">
        <f t="shared" si="2"/>
        <v>0</v>
      </c>
      <c r="K133" s="39"/>
      <c r="L133" s="39"/>
    </row>
    <row r="134" spans="1:12" ht="17.25" customHeight="1" x14ac:dyDescent="0.2">
      <c r="A134" s="3" t="s">
        <v>458</v>
      </c>
      <c r="B134" s="3" t="s">
        <v>528</v>
      </c>
      <c r="C134" s="3" t="s">
        <v>530</v>
      </c>
      <c r="D134" s="2"/>
      <c r="E134" s="5" t="s">
        <v>531</v>
      </c>
      <c r="F134" s="15">
        <f>F135</f>
        <v>2313640</v>
      </c>
      <c r="G134" s="13">
        <f>G135</f>
        <v>380306</v>
      </c>
      <c r="H134" s="13">
        <f>H135</f>
        <v>2415320</v>
      </c>
      <c r="I134" s="39">
        <f>I135</f>
        <v>2749095</v>
      </c>
      <c r="J134" s="39">
        <f t="shared" si="2"/>
        <v>-100861</v>
      </c>
      <c r="K134" s="39">
        <f>K135</f>
        <v>2648234</v>
      </c>
      <c r="L134" s="39">
        <f>L135</f>
        <v>2648234</v>
      </c>
    </row>
    <row r="135" spans="1:12" ht="17.100000000000001" customHeight="1" x14ac:dyDescent="0.2">
      <c r="A135" s="3" t="s">
        <v>458</v>
      </c>
      <c r="B135" s="3" t="s">
        <v>528</v>
      </c>
      <c r="C135" s="3" t="s">
        <v>530</v>
      </c>
      <c r="D135" s="3" t="s">
        <v>482</v>
      </c>
      <c r="E135" s="5" t="s">
        <v>483</v>
      </c>
      <c r="F135" s="16">
        <v>2313640</v>
      </c>
      <c r="G135" s="17">
        <f>67186+313120</f>
        <v>380306</v>
      </c>
      <c r="H135" s="17">
        <v>2415320</v>
      </c>
      <c r="I135" s="40">
        <v>2749095</v>
      </c>
      <c r="J135" s="39">
        <f t="shared" si="2"/>
        <v>-100861</v>
      </c>
      <c r="K135" s="40">
        <v>2648234</v>
      </c>
      <c r="L135" s="40">
        <v>2648234</v>
      </c>
    </row>
    <row r="136" spans="1:12" ht="16.5" customHeight="1" x14ac:dyDescent="0.2">
      <c r="A136" s="3" t="s">
        <v>458</v>
      </c>
      <c r="B136" s="3" t="s">
        <v>528</v>
      </c>
      <c r="C136" s="3" t="s">
        <v>572</v>
      </c>
      <c r="D136" s="3"/>
      <c r="E136" s="31" t="s">
        <v>89</v>
      </c>
      <c r="F136" s="16"/>
      <c r="G136" s="17"/>
      <c r="H136" s="17"/>
      <c r="I136" s="40">
        <f>I137</f>
        <v>94300</v>
      </c>
      <c r="J136" s="39">
        <f t="shared" si="2"/>
        <v>-94300</v>
      </c>
      <c r="K136" s="40">
        <f>K137</f>
        <v>0</v>
      </c>
      <c r="L136" s="40">
        <f>L137</f>
        <v>0</v>
      </c>
    </row>
    <row r="137" spans="1:12" ht="17.100000000000001" customHeight="1" x14ac:dyDescent="0.2">
      <c r="A137" s="3" t="s">
        <v>458</v>
      </c>
      <c r="B137" s="3" t="s">
        <v>528</v>
      </c>
      <c r="C137" s="3" t="s">
        <v>572</v>
      </c>
      <c r="D137" s="3" t="s">
        <v>482</v>
      </c>
      <c r="E137" s="31" t="s">
        <v>483</v>
      </c>
      <c r="F137" s="16"/>
      <c r="G137" s="17"/>
      <c r="H137" s="17"/>
      <c r="I137" s="40">
        <v>94300</v>
      </c>
      <c r="J137" s="39">
        <f t="shared" ref="J137:J200" si="6">K137-I137</f>
        <v>-94300</v>
      </c>
      <c r="K137" s="40">
        <v>0</v>
      </c>
      <c r="L137" s="40">
        <v>0</v>
      </c>
    </row>
    <row r="138" spans="1:12" ht="27" customHeight="1" x14ac:dyDescent="0.2">
      <c r="A138" s="3" t="s">
        <v>458</v>
      </c>
      <c r="B138" s="3" t="s">
        <v>528</v>
      </c>
      <c r="C138" s="3" t="s">
        <v>532</v>
      </c>
      <c r="D138" s="2"/>
      <c r="E138" s="5" t="s">
        <v>217</v>
      </c>
      <c r="F138" s="16">
        <f>F139</f>
        <v>109300</v>
      </c>
      <c r="G138" s="19">
        <f>G139</f>
        <v>380700</v>
      </c>
      <c r="H138" s="19">
        <f>H139</f>
        <v>0</v>
      </c>
      <c r="I138" s="41">
        <f>I139</f>
        <v>360000</v>
      </c>
      <c r="J138" s="39">
        <f t="shared" si="6"/>
        <v>-5000</v>
      </c>
      <c r="K138" s="41">
        <f>K139</f>
        <v>355000</v>
      </c>
      <c r="L138" s="41">
        <f>L139</f>
        <v>355000</v>
      </c>
    </row>
    <row r="139" spans="1:12" ht="17.100000000000001" customHeight="1" x14ac:dyDescent="0.2">
      <c r="A139" s="3" t="s">
        <v>458</v>
      </c>
      <c r="B139" s="3" t="s">
        <v>528</v>
      </c>
      <c r="C139" s="3" t="s">
        <v>532</v>
      </c>
      <c r="D139" s="3" t="s">
        <v>482</v>
      </c>
      <c r="E139" s="5" t="s">
        <v>483</v>
      </c>
      <c r="F139" s="16">
        <v>109300</v>
      </c>
      <c r="G139" s="17">
        <v>380700</v>
      </c>
      <c r="H139" s="17"/>
      <c r="I139" s="40">
        <v>360000</v>
      </c>
      <c r="J139" s="39">
        <f t="shared" si="6"/>
        <v>-5000</v>
      </c>
      <c r="K139" s="40">
        <v>355000</v>
      </c>
      <c r="L139" s="40">
        <v>355000</v>
      </c>
    </row>
    <row r="140" spans="1:12" ht="24" customHeight="1" x14ac:dyDescent="0.2">
      <c r="A140" s="3" t="s">
        <v>458</v>
      </c>
      <c r="B140" s="3" t="s">
        <v>90</v>
      </c>
      <c r="C140" s="3"/>
      <c r="D140" s="3"/>
      <c r="E140" s="31" t="s">
        <v>94</v>
      </c>
      <c r="F140" s="16"/>
      <c r="G140" s="17"/>
      <c r="H140" s="17"/>
      <c r="I140" s="40">
        <f>I141+I143</f>
        <v>40000</v>
      </c>
      <c r="J140" s="39">
        <f t="shared" si="6"/>
        <v>-40000</v>
      </c>
      <c r="K140" s="40">
        <f>K141+K143</f>
        <v>0</v>
      </c>
      <c r="L140" s="40">
        <f>L141+L143</f>
        <v>0</v>
      </c>
    </row>
    <row r="141" spans="1:12" ht="17.100000000000001" customHeight="1" x14ac:dyDescent="0.2">
      <c r="A141" s="3" t="s">
        <v>458</v>
      </c>
      <c r="B141" s="3" t="s">
        <v>90</v>
      </c>
      <c r="C141" s="3" t="s">
        <v>91</v>
      </c>
      <c r="D141" s="3"/>
      <c r="E141" s="31" t="s">
        <v>95</v>
      </c>
      <c r="F141" s="16"/>
      <c r="G141" s="17"/>
      <c r="H141" s="17"/>
      <c r="I141" s="40">
        <f>I142</f>
        <v>10000</v>
      </c>
      <c r="J141" s="39">
        <f t="shared" si="6"/>
        <v>-10000</v>
      </c>
      <c r="K141" s="40">
        <f>K142</f>
        <v>0</v>
      </c>
      <c r="L141" s="40">
        <f>L142</f>
        <v>0</v>
      </c>
    </row>
    <row r="142" spans="1:12" ht="17.100000000000001" customHeight="1" x14ac:dyDescent="0.2">
      <c r="A142" s="3" t="s">
        <v>458</v>
      </c>
      <c r="B142" s="3" t="s">
        <v>90</v>
      </c>
      <c r="C142" s="3" t="s">
        <v>91</v>
      </c>
      <c r="D142" s="3" t="s">
        <v>464</v>
      </c>
      <c r="E142" s="31" t="s">
        <v>465</v>
      </c>
      <c r="F142" s="16"/>
      <c r="G142" s="17"/>
      <c r="H142" s="17"/>
      <c r="I142" s="40">
        <v>10000</v>
      </c>
      <c r="J142" s="39">
        <f t="shared" si="6"/>
        <v>-10000</v>
      </c>
      <c r="K142" s="40">
        <v>0</v>
      </c>
      <c r="L142" s="40">
        <v>0</v>
      </c>
    </row>
    <row r="143" spans="1:12" ht="25.5" customHeight="1" x14ac:dyDescent="0.2">
      <c r="A143" s="3" t="s">
        <v>458</v>
      </c>
      <c r="B143" s="3" t="s">
        <v>90</v>
      </c>
      <c r="C143" s="3" t="s">
        <v>92</v>
      </c>
      <c r="D143" s="3"/>
      <c r="E143" s="31" t="s">
        <v>96</v>
      </c>
      <c r="F143" s="16"/>
      <c r="G143" s="17"/>
      <c r="H143" s="17"/>
      <c r="I143" s="40">
        <f>I144</f>
        <v>30000</v>
      </c>
      <c r="J143" s="39">
        <f t="shared" si="6"/>
        <v>-30000</v>
      </c>
      <c r="K143" s="40">
        <f>K144</f>
        <v>0</v>
      </c>
      <c r="L143" s="40">
        <f>L144</f>
        <v>0</v>
      </c>
    </row>
    <row r="144" spans="1:12" ht="17.100000000000001" customHeight="1" x14ac:dyDescent="0.2">
      <c r="A144" s="3" t="s">
        <v>458</v>
      </c>
      <c r="B144" s="3" t="s">
        <v>90</v>
      </c>
      <c r="C144" s="3" t="s">
        <v>92</v>
      </c>
      <c r="D144" s="3" t="s">
        <v>464</v>
      </c>
      <c r="E144" s="31" t="s">
        <v>465</v>
      </c>
      <c r="F144" s="16"/>
      <c r="G144" s="17"/>
      <c r="H144" s="17"/>
      <c r="I144" s="40">
        <v>30000</v>
      </c>
      <c r="J144" s="39">
        <f t="shared" si="6"/>
        <v>-30000</v>
      </c>
      <c r="K144" s="40"/>
      <c r="L144" s="40"/>
    </row>
    <row r="145" spans="1:12" ht="17.100000000000001" hidden="1" customHeight="1" x14ac:dyDescent="0.2">
      <c r="A145" s="3" t="s">
        <v>458</v>
      </c>
      <c r="B145" s="3" t="s">
        <v>601</v>
      </c>
      <c r="C145" s="3"/>
      <c r="D145" s="3"/>
      <c r="E145" s="31" t="s">
        <v>602</v>
      </c>
      <c r="F145" s="16"/>
      <c r="G145" s="17"/>
      <c r="H145" s="17"/>
      <c r="I145" s="40">
        <f>I146</f>
        <v>0</v>
      </c>
      <c r="J145" s="39">
        <f t="shared" si="6"/>
        <v>0</v>
      </c>
      <c r="K145" s="40">
        <f>K146</f>
        <v>0</v>
      </c>
      <c r="L145" s="40">
        <f>L146</f>
        <v>0</v>
      </c>
    </row>
    <row r="146" spans="1:12" ht="17.100000000000001" hidden="1" customHeight="1" x14ac:dyDescent="0.2">
      <c r="A146" s="3" t="s">
        <v>458</v>
      </c>
      <c r="B146" s="3" t="s">
        <v>601</v>
      </c>
      <c r="C146" s="3" t="s">
        <v>7</v>
      </c>
      <c r="D146" s="3"/>
      <c r="E146" s="31" t="s">
        <v>8</v>
      </c>
      <c r="F146" s="16"/>
      <c r="G146" s="17"/>
      <c r="H146" s="17"/>
      <c r="I146" s="40">
        <f>I147</f>
        <v>0</v>
      </c>
      <c r="J146" s="39">
        <f t="shared" si="6"/>
        <v>0</v>
      </c>
      <c r="K146" s="40">
        <f>K147</f>
        <v>0</v>
      </c>
      <c r="L146" s="40">
        <f>L147</f>
        <v>0</v>
      </c>
    </row>
    <row r="147" spans="1:12" ht="17.100000000000001" hidden="1" customHeight="1" x14ac:dyDescent="0.2">
      <c r="A147" s="3" t="s">
        <v>458</v>
      </c>
      <c r="B147" s="3" t="s">
        <v>601</v>
      </c>
      <c r="C147" s="3" t="s">
        <v>7</v>
      </c>
      <c r="D147" s="3" t="s">
        <v>464</v>
      </c>
      <c r="E147" s="31" t="s">
        <v>465</v>
      </c>
      <c r="F147" s="16"/>
      <c r="G147" s="17"/>
      <c r="H147" s="17"/>
      <c r="I147" s="40"/>
      <c r="J147" s="39">
        <f t="shared" si="6"/>
        <v>0</v>
      </c>
      <c r="K147" s="40"/>
      <c r="L147" s="40"/>
    </row>
    <row r="148" spans="1:12" ht="17.100000000000001" hidden="1" customHeight="1" x14ac:dyDescent="0.2">
      <c r="A148" s="3" t="s">
        <v>458</v>
      </c>
      <c r="B148" s="3" t="s">
        <v>573</v>
      </c>
      <c r="C148" s="3"/>
      <c r="D148" s="3"/>
      <c r="E148" s="31" t="s">
        <v>574</v>
      </c>
      <c r="F148" s="16"/>
      <c r="G148" s="17"/>
      <c r="H148" s="17"/>
      <c r="I148" s="40">
        <f>I149</f>
        <v>0</v>
      </c>
      <c r="J148" s="39">
        <f t="shared" si="6"/>
        <v>0</v>
      </c>
      <c r="K148" s="40">
        <f>K149</f>
        <v>0</v>
      </c>
      <c r="L148" s="40">
        <f>L149</f>
        <v>0</v>
      </c>
    </row>
    <row r="149" spans="1:12" ht="22.5" hidden="1" customHeight="1" x14ac:dyDescent="0.2">
      <c r="A149" s="3" t="s">
        <v>458</v>
      </c>
      <c r="B149" s="3" t="s">
        <v>573</v>
      </c>
      <c r="C149" s="3" t="s">
        <v>93</v>
      </c>
      <c r="D149" s="3"/>
      <c r="E149" s="5" t="s">
        <v>97</v>
      </c>
      <c r="F149" s="16"/>
      <c r="G149" s="17"/>
      <c r="H149" s="17"/>
      <c r="I149" s="40">
        <f>I150</f>
        <v>0</v>
      </c>
      <c r="J149" s="39">
        <f t="shared" si="6"/>
        <v>0</v>
      </c>
      <c r="K149" s="40">
        <f>K150</f>
        <v>0</v>
      </c>
      <c r="L149" s="40">
        <f>L150</f>
        <v>0</v>
      </c>
    </row>
    <row r="150" spans="1:12" ht="17.100000000000001" hidden="1" customHeight="1" x14ac:dyDescent="0.2">
      <c r="A150" s="3" t="s">
        <v>458</v>
      </c>
      <c r="B150" s="3" t="s">
        <v>573</v>
      </c>
      <c r="C150" s="3" t="s">
        <v>93</v>
      </c>
      <c r="D150" s="3" t="s">
        <v>526</v>
      </c>
      <c r="E150" s="31" t="s">
        <v>527</v>
      </c>
      <c r="F150" s="16"/>
      <c r="G150" s="17"/>
      <c r="H150" s="17"/>
      <c r="I150" s="40"/>
      <c r="J150" s="39">
        <f t="shared" si="6"/>
        <v>0</v>
      </c>
      <c r="K150" s="40"/>
      <c r="L150" s="40"/>
    </row>
    <row r="151" spans="1:12" ht="23.25" hidden="1" customHeight="1" x14ac:dyDescent="0.2">
      <c r="A151" s="3" t="s">
        <v>458</v>
      </c>
      <c r="B151" s="3" t="s">
        <v>585</v>
      </c>
      <c r="C151" s="3"/>
      <c r="D151" s="3"/>
      <c r="E151" s="31" t="s">
        <v>586</v>
      </c>
      <c r="F151" s="16"/>
      <c r="G151" s="17"/>
      <c r="H151" s="17"/>
      <c r="I151" s="40">
        <f>I152+I154</f>
        <v>0</v>
      </c>
      <c r="J151" s="39">
        <f t="shared" si="6"/>
        <v>0</v>
      </c>
      <c r="K151" s="40">
        <f>K152+K154</f>
        <v>0</v>
      </c>
      <c r="L151" s="40">
        <f>L152+L154</f>
        <v>0</v>
      </c>
    </row>
    <row r="152" spans="1:12" ht="24" hidden="1" customHeight="1" x14ac:dyDescent="0.2">
      <c r="A152" s="3" t="s">
        <v>458</v>
      </c>
      <c r="B152" s="3" t="s">
        <v>585</v>
      </c>
      <c r="C152" s="3" t="s">
        <v>183</v>
      </c>
      <c r="D152" s="3"/>
      <c r="E152" s="31" t="s">
        <v>640</v>
      </c>
      <c r="F152" s="16"/>
      <c r="G152" s="17"/>
      <c r="H152" s="17"/>
      <c r="I152" s="40">
        <f>I153</f>
        <v>0</v>
      </c>
      <c r="J152" s="39">
        <f t="shared" si="6"/>
        <v>0</v>
      </c>
      <c r="K152" s="40">
        <f>K153</f>
        <v>0</v>
      </c>
      <c r="L152" s="40">
        <f>L153</f>
        <v>0</v>
      </c>
    </row>
    <row r="153" spans="1:12" ht="22.5" hidden="1" customHeight="1" x14ac:dyDescent="0.2">
      <c r="A153" s="3" t="s">
        <v>458</v>
      </c>
      <c r="B153" s="3" t="s">
        <v>585</v>
      </c>
      <c r="C153" s="3" t="s">
        <v>183</v>
      </c>
      <c r="D153" s="3" t="s">
        <v>181</v>
      </c>
      <c r="E153" s="31" t="s">
        <v>182</v>
      </c>
      <c r="F153" s="16"/>
      <c r="G153" s="17"/>
      <c r="H153" s="17"/>
      <c r="I153" s="40"/>
      <c r="J153" s="39">
        <f t="shared" si="6"/>
        <v>0</v>
      </c>
      <c r="K153" s="40"/>
      <c r="L153" s="40"/>
    </row>
    <row r="154" spans="1:12" ht="31.5" hidden="1" x14ac:dyDescent="0.2">
      <c r="A154" s="3" t="s">
        <v>458</v>
      </c>
      <c r="B154" s="3" t="s">
        <v>585</v>
      </c>
      <c r="C154" s="3" t="s">
        <v>310</v>
      </c>
      <c r="D154" s="3"/>
      <c r="E154" s="31" t="s">
        <v>340</v>
      </c>
      <c r="F154" s="16"/>
      <c r="G154" s="17"/>
      <c r="H154" s="17"/>
      <c r="I154" s="40">
        <f>I155</f>
        <v>0</v>
      </c>
      <c r="J154" s="39">
        <f t="shared" si="6"/>
        <v>0</v>
      </c>
      <c r="K154" s="40">
        <f>K155</f>
        <v>0</v>
      </c>
      <c r="L154" s="40">
        <f>L155</f>
        <v>0</v>
      </c>
    </row>
    <row r="155" spans="1:12" ht="31.5" hidden="1" x14ac:dyDescent="0.2">
      <c r="A155" s="3" t="s">
        <v>458</v>
      </c>
      <c r="B155" s="3" t="s">
        <v>585</v>
      </c>
      <c r="C155" s="3" t="s">
        <v>310</v>
      </c>
      <c r="D155" s="3" t="s">
        <v>181</v>
      </c>
      <c r="E155" s="31" t="s">
        <v>182</v>
      </c>
      <c r="F155" s="16"/>
      <c r="G155" s="17"/>
      <c r="H155" s="17"/>
      <c r="I155" s="40"/>
      <c r="J155" s="39">
        <f t="shared" si="6"/>
        <v>0</v>
      </c>
      <c r="K155" s="40"/>
      <c r="L155" s="40"/>
    </row>
    <row r="156" spans="1:12" hidden="1" x14ac:dyDescent="0.2">
      <c r="A156" s="3" t="s">
        <v>458</v>
      </c>
      <c r="B156" s="3" t="s">
        <v>556</v>
      </c>
      <c r="C156" s="3"/>
      <c r="D156" s="3"/>
      <c r="E156" s="31" t="s">
        <v>557</v>
      </c>
      <c r="F156" s="16"/>
      <c r="G156" s="17"/>
      <c r="H156" s="17"/>
      <c r="I156" s="40">
        <f>I157+I159+I161</f>
        <v>0</v>
      </c>
      <c r="J156" s="39">
        <f t="shared" si="6"/>
        <v>0</v>
      </c>
      <c r="K156" s="40">
        <f>K157+K159+K161</f>
        <v>0</v>
      </c>
      <c r="L156" s="40">
        <f>L157+L159+L161</f>
        <v>0</v>
      </c>
    </row>
    <row r="157" spans="1:12" ht="18.75" hidden="1" customHeight="1" x14ac:dyDescent="0.2">
      <c r="A157" s="3" t="s">
        <v>458</v>
      </c>
      <c r="B157" s="3" t="s">
        <v>556</v>
      </c>
      <c r="C157" s="3" t="s">
        <v>560</v>
      </c>
      <c r="D157" s="3"/>
      <c r="E157" s="31" t="s">
        <v>531</v>
      </c>
      <c r="F157" s="16"/>
      <c r="G157" s="17"/>
      <c r="H157" s="17"/>
      <c r="I157" s="40">
        <f>I158</f>
        <v>0</v>
      </c>
      <c r="J157" s="39">
        <f t="shared" si="6"/>
        <v>0</v>
      </c>
      <c r="K157" s="40">
        <f>K158</f>
        <v>0</v>
      </c>
      <c r="L157" s="40">
        <f>L158</f>
        <v>0</v>
      </c>
    </row>
    <row r="158" spans="1:12" ht="20.25" hidden="1" customHeight="1" x14ac:dyDescent="0.2">
      <c r="A158" s="3" t="s">
        <v>458</v>
      </c>
      <c r="B158" s="3" t="s">
        <v>556</v>
      </c>
      <c r="C158" s="3" t="s">
        <v>560</v>
      </c>
      <c r="D158" s="3" t="s">
        <v>482</v>
      </c>
      <c r="E158" s="31" t="s">
        <v>483</v>
      </c>
      <c r="F158" s="16"/>
      <c r="G158" s="17"/>
      <c r="H158" s="17"/>
      <c r="I158" s="40"/>
      <c r="J158" s="39">
        <f t="shared" si="6"/>
        <v>0</v>
      </c>
      <c r="K158" s="40"/>
      <c r="L158" s="40"/>
    </row>
    <row r="159" spans="1:12" ht="22.5" hidden="1" customHeight="1" x14ac:dyDescent="0.2">
      <c r="A159" s="3" t="s">
        <v>458</v>
      </c>
      <c r="B159" s="3" t="s">
        <v>556</v>
      </c>
      <c r="C159" s="3" t="s">
        <v>156</v>
      </c>
      <c r="D159" s="3"/>
      <c r="E159" s="31" t="s">
        <v>224</v>
      </c>
      <c r="F159" s="16"/>
      <c r="G159" s="17"/>
      <c r="H159" s="17"/>
      <c r="I159" s="40">
        <f>I160</f>
        <v>0</v>
      </c>
      <c r="J159" s="39">
        <f t="shared" si="6"/>
        <v>0</v>
      </c>
      <c r="K159" s="40">
        <f>K160</f>
        <v>0</v>
      </c>
      <c r="L159" s="40">
        <f>L160</f>
        <v>0</v>
      </c>
    </row>
    <row r="160" spans="1:12" ht="22.5" hidden="1" customHeight="1" x14ac:dyDescent="0.2">
      <c r="A160" s="3" t="s">
        <v>458</v>
      </c>
      <c r="B160" s="3" t="s">
        <v>556</v>
      </c>
      <c r="C160" s="3" t="s">
        <v>156</v>
      </c>
      <c r="D160" s="3" t="s">
        <v>482</v>
      </c>
      <c r="E160" s="31" t="s">
        <v>483</v>
      </c>
      <c r="F160" s="16"/>
      <c r="G160" s="17"/>
      <c r="H160" s="17"/>
      <c r="I160" s="40"/>
      <c r="J160" s="39">
        <f t="shared" si="6"/>
        <v>0</v>
      </c>
      <c r="K160" s="40"/>
      <c r="L160" s="40"/>
    </row>
    <row r="161" spans="1:12" ht="22.5" hidden="1" customHeight="1" x14ac:dyDescent="0.2">
      <c r="A161" s="3" t="s">
        <v>458</v>
      </c>
      <c r="B161" s="3" t="s">
        <v>556</v>
      </c>
      <c r="C161" s="3" t="s">
        <v>158</v>
      </c>
      <c r="D161" s="3"/>
      <c r="E161" s="31" t="s">
        <v>231</v>
      </c>
      <c r="F161" s="16"/>
      <c r="G161" s="17"/>
      <c r="H161" s="17"/>
      <c r="I161" s="40">
        <f>I162</f>
        <v>0</v>
      </c>
      <c r="J161" s="39">
        <f t="shared" si="6"/>
        <v>0</v>
      </c>
      <c r="K161" s="40">
        <f>K162</f>
        <v>0</v>
      </c>
      <c r="L161" s="40">
        <f>L162</f>
        <v>0</v>
      </c>
    </row>
    <row r="162" spans="1:12" ht="22.5" hidden="1" customHeight="1" x14ac:dyDescent="0.2">
      <c r="A162" s="3" t="s">
        <v>458</v>
      </c>
      <c r="B162" s="3" t="s">
        <v>556</v>
      </c>
      <c r="C162" s="3" t="s">
        <v>158</v>
      </c>
      <c r="D162" s="3" t="s">
        <v>482</v>
      </c>
      <c r="E162" s="31" t="s">
        <v>483</v>
      </c>
      <c r="F162" s="16"/>
      <c r="G162" s="17"/>
      <c r="H162" s="17"/>
      <c r="I162" s="40"/>
      <c r="J162" s="39">
        <f t="shared" si="6"/>
        <v>0</v>
      </c>
      <c r="K162" s="40"/>
      <c r="L162" s="40"/>
    </row>
    <row r="163" spans="1:12" ht="17.100000000000001" hidden="1" customHeight="1" x14ac:dyDescent="0.2">
      <c r="A163" s="3" t="s">
        <v>458</v>
      </c>
      <c r="B163" s="3" t="s">
        <v>273</v>
      </c>
      <c r="C163" s="3"/>
      <c r="D163" s="3"/>
      <c r="E163" s="11" t="s">
        <v>274</v>
      </c>
      <c r="F163" s="16"/>
      <c r="G163" s="17"/>
      <c r="H163" s="17"/>
      <c r="I163" s="40">
        <f>I166+I164</f>
        <v>0</v>
      </c>
      <c r="J163" s="39">
        <f t="shared" si="6"/>
        <v>0</v>
      </c>
      <c r="K163" s="40">
        <f>K166+K164</f>
        <v>0</v>
      </c>
      <c r="L163" s="40">
        <f>L166+L164</f>
        <v>0</v>
      </c>
    </row>
    <row r="164" spans="1:12" ht="31.5" hidden="1" customHeight="1" x14ac:dyDescent="0.2">
      <c r="A164" s="3" t="s">
        <v>458</v>
      </c>
      <c r="B164" s="3" t="s">
        <v>273</v>
      </c>
      <c r="C164" s="3" t="s">
        <v>536</v>
      </c>
      <c r="D164" s="3"/>
      <c r="E164" s="5" t="s">
        <v>218</v>
      </c>
      <c r="F164" s="16"/>
      <c r="G164" s="17"/>
      <c r="H164" s="17"/>
      <c r="I164" s="40">
        <f>I165</f>
        <v>0</v>
      </c>
      <c r="J164" s="39">
        <f t="shared" si="6"/>
        <v>0</v>
      </c>
      <c r="K164" s="40">
        <f>K165</f>
        <v>0</v>
      </c>
      <c r="L164" s="40">
        <f>L165</f>
        <v>0</v>
      </c>
    </row>
    <row r="165" spans="1:12" ht="27" hidden="1" customHeight="1" x14ac:dyDescent="0.2">
      <c r="A165" s="3" t="s">
        <v>458</v>
      </c>
      <c r="B165" s="3" t="s">
        <v>273</v>
      </c>
      <c r="C165" s="3" t="s">
        <v>536</v>
      </c>
      <c r="D165" s="3" t="s">
        <v>537</v>
      </c>
      <c r="E165" s="5" t="s">
        <v>538</v>
      </c>
      <c r="F165" s="16"/>
      <c r="G165" s="17"/>
      <c r="H165" s="17"/>
      <c r="I165" s="40"/>
      <c r="J165" s="39">
        <f t="shared" si="6"/>
        <v>0</v>
      </c>
      <c r="K165" s="40"/>
      <c r="L165" s="40"/>
    </row>
    <row r="166" spans="1:12" ht="34.5" hidden="1" customHeight="1" x14ac:dyDescent="0.2">
      <c r="A166" s="3" t="s">
        <v>458</v>
      </c>
      <c r="B166" s="3" t="s">
        <v>273</v>
      </c>
      <c r="C166" s="3" t="s">
        <v>539</v>
      </c>
      <c r="D166" s="3"/>
      <c r="E166" s="5" t="s">
        <v>219</v>
      </c>
      <c r="F166" s="16"/>
      <c r="G166" s="17"/>
      <c r="H166" s="17"/>
      <c r="I166" s="40">
        <f>I167</f>
        <v>0</v>
      </c>
      <c r="J166" s="39">
        <f t="shared" si="6"/>
        <v>0</v>
      </c>
      <c r="K166" s="40">
        <f>K167</f>
        <v>0</v>
      </c>
      <c r="L166" s="40">
        <f>L167</f>
        <v>0</v>
      </c>
    </row>
    <row r="167" spans="1:12" ht="25.5" hidden="1" customHeight="1" x14ac:dyDescent="0.2">
      <c r="A167" s="3" t="s">
        <v>458</v>
      </c>
      <c r="B167" s="3" t="s">
        <v>273</v>
      </c>
      <c r="C167" s="3" t="s">
        <v>539</v>
      </c>
      <c r="D167" s="3" t="s">
        <v>537</v>
      </c>
      <c r="E167" s="5" t="s">
        <v>538</v>
      </c>
      <c r="F167" s="16"/>
      <c r="G167" s="17"/>
      <c r="H167" s="17"/>
      <c r="I167" s="40"/>
      <c r="J167" s="39">
        <f t="shared" si="6"/>
        <v>0</v>
      </c>
      <c r="K167" s="40"/>
      <c r="L167" s="40"/>
    </row>
    <row r="168" spans="1:12" ht="26.25" customHeight="1" x14ac:dyDescent="0.2">
      <c r="A168" s="42" t="s">
        <v>458</v>
      </c>
      <c r="B168" s="42" t="s">
        <v>534</v>
      </c>
      <c r="C168" s="43"/>
      <c r="D168" s="43"/>
      <c r="E168" s="11" t="s">
        <v>535</v>
      </c>
      <c r="F168" s="16">
        <f>F169+F171</f>
        <v>430000</v>
      </c>
      <c r="G168" s="19">
        <f>G169+G171</f>
        <v>-1850</v>
      </c>
      <c r="H168" s="19">
        <f>H169+H171</f>
        <v>0</v>
      </c>
      <c r="I168" s="41">
        <f>I169+I171</f>
        <v>500000</v>
      </c>
      <c r="J168" s="39">
        <f t="shared" si="6"/>
        <v>-500000</v>
      </c>
      <c r="K168" s="41">
        <f>K169+K171</f>
        <v>0</v>
      </c>
      <c r="L168" s="41">
        <f>L169+L171</f>
        <v>0</v>
      </c>
    </row>
    <row r="169" spans="1:12" ht="33.75" customHeight="1" x14ac:dyDescent="0.2">
      <c r="A169" s="3" t="s">
        <v>458</v>
      </c>
      <c r="B169" s="3" t="s">
        <v>534</v>
      </c>
      <c r="C169" s="3" t="s">
        <v>536</v>
      </c>
      <c r="D169" s="2"/>
      <c r="E169" s="5" t="s">
        <v>218</v>
      </c>
      <c r="F169" s="16">
        <f>F170</f>
        <v>350000</v>
      </c>
      <c r="G169" s="19">
        <f>G170</f>
        <v>0</v>
      </c>
      <c r="H169" s="19">
        <f>H170</f>
        <v>0</v>
      </c>
      <c r="I169" s="41">
        <f>I170</f>
        <v>393203</v>
      </c>
      <c r="J169" s="39">
        <f t="shared" si="6"/>
        <v>-393203</v>
      </c>
      <c r="K169" s="41">
        <f>K170</f>
        <v>0</v>
      </c>
      <c r="L169" s="41">
        <f>L170</f>
        <v>0</v>
      </c>
    </row>
    <row r="170" spans="1:12" ht="30" customHeight="1" x14ac:dyDescent="0.2">
      <c r="A170" s="3" t="s">
        <v>458</v>
      </c>
      <c r="B170" s="3" t="s">
        <v>534</v>
      </c>
      <c r="C170" s="3" t="s">
        <v>536</v>
      </c>
      <c r="D170" s="3" t="s">
        <v>537</v>
      </c>
      <c r="E170" s="5" t="s">
        <v>538</v>
      </c>
      <c r="F170" s="16">
        <v>350000</v>
      </c>
      <c r="G170" s="17"/>
      <c r="H170" s="17"/>
      <c r="I170" s="40">
        <v>393203</v>
      </c>
      <c r="J170" s="39">
        <f t="shared" si="6"/>
        <v>-393203</v>
      </c>
      <c r="K170" s="40">
        <v>0</v>
      </c>
      <c r="L170" s="40">
        <v>0</v>
      </c>
    </row>
    <row r="171" spans="1:12" ht="36.75" customHeight="1" x14ac:dyDescent="0.2">
      <c r="A171" s="3" t="s">
        <v>458</v>
      </c>
      <c r="B171" s="3" t="s">
        <v>534</v>
      </c>
      <c r="C171" s="3" t="s">
        <v>539</v>
      </c>
      <c r="D171" s="2"/>
      <c r="E171" s="5" t="s">
        <v>219</v>
      </c>
      <c r="F171" s="19">
        <f>F172</f>
        <v>80000</v>
      </c>
      <c r="G171" s="19">
        <f>G172</f>
        <v>-1850</v>
      </c>
      <c r="H171" s="19">
        <f>H172</f>
        <v>0</v>
      </c>
      <c r="I171" s="41">
        <f>I172</f>
        <v>106797</v>
      </c>
      <c r="J171" s="39">
        <f t="shared" si="6"/>
        <v>-106797</v>
      </c>
      <c r="K171" s="41">
        <f>K172</f>
        <v>0</v>
      </c>
      <c r="L171" s="41">
        <f>L172</f>
        <v>0</v>
      </c>
    </row>
    <row r="172" spans="1:12" ht="30" customHeight="1" x14ac:dyDescent="0.2">
      <c r="A172" s="3" t="s">
        <v>458</v>
      </c>
      <c r="B172" s="3" t="s">
        <v>534</v>
      </c>
      <c r="C172" s="3" t="s">
        <v>539</v>
      </c>
      <c r="D172" s="3" t="s">
        <v>537</v>
      </c>
      <c r="E172" s="5" t="s">
        <v>538</v>
      </c>
      <c r="F172" s="19">
        <v>80000</v>
      </c>
      <c r="G172" s="17">
        <v>-1850</v>
      </c>
      <c r="H172" s="17"/>
      <c r="I172" s="40">
        <v>106797</v>
      </c>
      <c r="J172" s="39">
        <f t="shared" si="6"/>
        <v>-106797</v>
      </c>
      <c r="K172" s="40">
        <v>0</v>
      </c>
      <c r="L172" s="40">
        <v>0</v>
      </c>
    </row>
    <row r="173" spans="1:12" ht="17.25" customHeight="1" x14ac:dyDescent="0.2">
      <c r="A173" s="3" t="s">
        <v>458</v>
      </c>
      <c r="B173" s="3" t="s">
        <v>16</v>
      </c>
      <c r="C173" s="3"/>
      <c r="D173" s="3"/>
      <c r="E173" s="31" t="s">
        <v>17</v>
      </c>
      <c r="F173" s="19"/>
      <c r="G173" s="17"/>
      <c r="H173" s="17"/>
      <c r="I173" s="40">
        <f>I174+I176</f>
        <v>105000</v>
      </c>
      <c r="J173" s="39">
        <f t="shared" si="6"/>
        <v>0</v>
      </c>
      <c r="K173" s="40">
        <f>K174+K176</f>
        <v>105000</v>
      </c>
      <c r="L173" s="40">
        <f>L174+L176</f>
        <v>105000</v>
      </c>
    </row>
    <row r="174" spans="1:12" ht="23.25" customHeight="1" x14ac:dyDescent="0.2">
      <c r="A174" s="42" t="s">
        <v>458</v>
      </c>
      <c r="B174" s="42" t="s">
        <v>16</v>
      </c>
      <c r="C174" s="42" t="s">
        <v>76</v>
      </c>
      <c r="D174" s="42"/>
      <c r="E174" s="44" t="s">
        <v>77</v>
      </c>
      <c r="F174" s="19"/>
      <c r="G174" s="17"/>
      <c r="H174" s="17"/>
      <c r="I174" s="40">
        <f>I175</f>
        <v>105000</v>
      </c>
      <c r="J174" s="39">
        <f t="shared" si="6"/>
        <v>-105000</v>
      </c>
      <c r="K174" s="40">
        <f>K175</f>
        <v>0</v>
      </c>
      <c r="L174" s="40">
        <f>L175</f>
        <v>0</v>
      </c>
    </row>
    <row r="175" spans="1:12" ht="18" customHeight="1" x14ac:dyDescent="0.2">
      <c r="A175" s="42" t="s">
        <v>458</v>
      </c>
      <c r="B175" s="42" t="s">
        <v>16</v>
      </c>
      <c r="C175" s="42" t="s">
        <v>76</v>
      </c>
      <c r="D175" s="42" t="s">
        <v>482</v>
      </c>
      <c r="E175" s="44" t="s">
        <v>483</v>
      </c>
      <c r="F175" s="19"/>
      <c r="G175" s="17"/>
      <c r="H175" s="17"/>
      <c r="I175" s="40">
        <v>105000</v>
      </c>
      <c r="J175" s="39">
        <f t="shared" si="6"/>
        <v>-105000</v>
      </c>
      <c r="K175" s="40">
        <v>0</v>
      </c>
      <c r="L175" s="40">
        <v>0</v>
      </c>
    </row>
    <row r="176" spans="1:12" ht="24.75" customHeight="1" x14ac:dyDescent="0.2">
      <c r="A176" s="42" t="s">
        <v>458</v>
      </c>
      <c r="B176" s="42" t="s">
        <v>16</v>
      </c>
      <c r="C176" s="42" t="s">
        <v>275</v>
      </c>
      <c r="D176" s="42"/>
      <c r="E176" s="11" t="s">
        <v>77</v>
      </c>
      <c r="F176" s="19"/>
      <c r="G176" s="17"/>
      <c r="H176" s="17"/>
      <c r="I176" s="40">
        <f>I177</f>
        <v>0</v>
      </c>
      <c r="J176" s="39">
        <f t="shared" si="6"/>
        <v>105000</v>
      </c>
      <c r="K176" s="40">
        <f>K177</f>
        <v>105000</v>
      </c>
      <c r="L176" s="40">
        <f>L177</f>
        <v>105000</v>
      </c>
    </row>
    <row r="177" spans="1:12" ht="18" customHeight="1" x14ac:dyDescent="0.2">
      <c r="A177" s="3" t="s">
        <v>458</v>
      </c>
      <c r="B177" s="3" t="s">
        <v>16</v>
      </c>
      <c r="C177" s="3" t="s">
        <v>275</v>
      </c>
      <c r="D177" s="3" t="s">
        <v>192</v>
      </c>
      <c r="E177" s="5" t="s">
        <v>193</v>
      </c>
      <c r="F177" s="19"/>
      <c r="G177" s="17"/>
      <c r="H177" s="17"/>
      <c r="I177" s="40">
        <v>0</v>
      </c>
      <c r="J177" s="39">
        <f t="shared" si="6"/>
        <v>105000</v>
      </c>
      <c r="K177" s="40">
        <v>105000</v>
      </c>
      <c r="L177" s="40">
        <v>105000</v>
      </c>
    </row>
    <row r="178" spans="1:12" ht="16.5" customHeight="1" x14ac:dyDescent="0.2">
      <c r="A178" s="3" t="s">
        <v>458</v>
      </c>
      <c r="B178" s="3" t="s">
        <v>540</v>
      </c>
      <c r="C178" s="2"/>
      <c r="D178" s="2"/>
      <c r="E178" s="5" t="s">
        <v>541</v>
      </c>
      <c r="F178" s="21">
        <f>F179+F195</f>
        <v>3897700</v>
      </c>
      <c r="G178" s="13">
        <f>G179+G195</f>
        <v>1113000</v>
      </c>
      <c r="H178" s="13">
        <f>H179+H195</f>
        <v>0</v>
      </c>
      <c r="I178" s="39">
        <f>I179+I195+I181+I191+I183+I185+I187+I189+I199+I193+I197</f>
        <v>200000</v>
      </c>
      <c r="J178" s="39">
        <f t="shared" si="6"/>
        <v>700000</v>
      </c>
      <c r="K178" s="39">
        <f>K179+K195+K181+K191+K183+K185+K187+K189+K199+K193+K197</f>
        <v>900000</v>
      </c>
      <c r="L178" s="39">
        <f>L179+L195+L181+L191+L183+L185+L187+L189+L199+L193+L197</f>
        <v>600000</v>
      </c>
    </row>
    <row r="179" spans="1:12" ht="21" hidden="1" x14ac:dyDescent="0.2">
      <c r="A179" s="3" t="s">
        <v>458</v>
      </c>
      <c r="B179" s="3" t="s">
        <v>540</v>
      </c>
      <c r="C179" s="3" t="s">
        <v>311</v>
      </c>
      <c r="D179" s="2"/>
      <c r="E179" s="31" t="s">
        <v>341</v>
      </c>
      <c r="F179" s="18">
        <f>F180</f>
        <v>3697700</v>
      </c>
      <c r="G179" s="19">
        <f>G180</f>
        <v>1113000</v>
      </c>
      <c r="H179" s="19">
        <f>H180</f>
        <v>0</v>
      </c>
      <c r="I179" s="41">
        <f>I180</f>
        <v>0</v>
      </c>
      <c r="J179" s="39">
        <f t="shared" si="6"/>
        <v>0</v>
      </c>
      <c r="K179" s="41">
        <f>K180</f>
        <v>0</v>
      </c>
      <c r="L179" s="41">
        <f>L180</f>
        <v>0</v>
      </c>
    </row>
    <row r="180" spans="1:12" ht="31.5" hidden="1" x14ac:dyDescent="0.2">
      <c r="A180" s="3" t="s">
        <v>458</v>
      </c>
      <c r="B180" s="3" t="s">
        <v>540</v>
      </c>
      <c r="C180" s="3" t="s">
        <v>311</v>
      </c>
      <c r="D180" s="3" t="s">
        <v>151</v>
      </c>
      <c r="E180" s="31" t="s">
        <v>152</v>
      </c>
      <c r="F180" s="18">
        <v>3697700</v>
      </c>
      <c r="G180" s="17">
        <v>1113000</v>
      </c>
      <c r="H180" s="17"/>
      <c r="I180" s="40"/>
      <c r="J180" s="39">
        <f t="shared" si="6"/>
        <v>0</v>
      </c>
      <c r="K180" s="40"/>
      <c r="L180" s="40"/>
    </row>
    <row r="181" spans="1:12" ht="21" hidden="1" x14ac:dyDescent="0.2">
      <c r="A181" s="3" t="s">
        <v>458</v>
      </c>
      <c r="B181" s="3" t="s">
        <v>540</v>
      </c>
      <c r="C181" s="3" t="s">
        <v>312</v>
      </c>
      <c r="D181" s="3"/>
      <c r="E181" s="31" t="s">
        <v>342</v>
      </c>
      <c r="F181" s="18"/>
      <c r="G181" s="17"/>
      <c r="H181" s="17"/>
      <c r="I181" s="40">
        <f>I182</f>
        <v>0</v>
      </c>
      <c r="J181" s="39">
        <f t="shared" si="6"/>
        <v>0</v>
      </c>
      <c r="K181" s="40">
        <f>K182</f>
        <v>0</v>
      </c>
      <c r="L181" s="40">
        <f>L182</f>
        <v>0</v>
      </c>
    </row>
    <row r="182" spans="1:12" ht="33.75" hidden="1" customHeight="1" x14ac:dyDescent="0.2">
      <c r="A182" s="3" t="s">
        <v>458</v>
      </c>
      <c r="B182" s="3" t="s">
        <v>540</v>
      </c>
      <c r="C182" s="3" t="s">
        <v>312</v>
      </c>
      <c r="D182" s="3" t="s">
        <v>151</v>
      </c>
      <c r="E182" s="31" t="s">
        <v>152</v>
      </c>
      <c r="F182" s="18"/>
      <c r="G182" s="17"/>
      <c r="H182" s="17"/>
      <c r="I182" s="40"/>
      <c r="J182" s="39">
        <f t="shared" si="6"/>
        <v>0</v>
      </c>
      <c r="K182" s="40"/>
      <c r="L182" s="40"/>
    </row>
    <row r="183" spans="1:12" hidden="1" x14ac:dyDescent="0.2">
      <c r="A183" s="3" t="s">
        <v>458</v>
      </c>
      <c r="B183" s="3" t="s">
        <v>540</v>
      </c>
      <c r="C183" s="3" t="s">
        <v>313</v>
      </c>
      <c r="D183" s="3"/>
      <c r="E183" s="31" t="s">
        <v>343</v>
      </c>
      <c r="F183" s="18"/>
      <c r="G183" s="17"/>
      <c r="H183" s="17"/>
      <c r="I183" s="40">
        <f>I184</f>
        <v>0</v>
      </c>
      <c r="J183" s="39">
        <f t="shared" si="6"/>
        <v>0</v>
      </c>
      <c r="K183" s="40">
        <f>K184</f>
        <v>0</v>
      </c>
      <c r="L183" s="40">
        <f>L184</f>
        <v>0</v>
      </c>
    </row>
    <row r="184" spans="1:12" hidden="1" x14ac:dyDescent="0.2">
      <c r="A184" s="3" t="s">
        <v>458</v>
      </c>
      <c r="B184" s="3" t="s">
        <v>540</v>
      </c>
      <c r="C184" s="3" t="s">
        <v>313</v>
      </c>
      <c r="D184" s="3" t="s">
        <v>464</v>
      </c>
      <c r="E184" s="31" t="s">
        <v>465</v>
      </c>
      <c r="F184" s="18"/>
      <c r="G184" s="17"/>
      <c r="H184" s="17"/>
      <c r="I184" s="40"/>
      <c r="J184" s="39">
        <f t="shared" si="6"/>
        <v>0</v>
      </c>
      <c r="K184" s="40"/>
      <c r="L184" s="40"/>
    </row>
    <row r="185" spans="1:12" ht="21" hidden="1" x14ac:dyDescent="0.2">
      <c r="A185" s="3" t="s">
        <v>458</v>
      </c>
      <c r="B185" s="3" t="s">
        <v>540</v>
      </c>
      <c r="C185" s="3" t="s">
        <v>196</v>
      </c>
      <c r="D185" s="3"/>
      <c r="E185" s="31" t="s">
        <v>268</v>
      </c>
      <c r="F185" s="18"/>
      <c r="G185" s="17"/>
      <c r="H185" s="17"/>
      <c r="I185" s="40">
        <f>I186</f>
        <v>0</v>
      </c>
      <c r="J185" s="39">
        <f t="shared" si="6"/>
        <v>0</v>
      </c>
      <c r="K185" s="40">
        <f>K186</f>
        <v>0</v>
      </c>
      <c r="L185" s="40">
        <f>L186</f>
        <v>0</v>
      </c>
    </row>
    <row r="186" spans="1:12" hidden="1" x14ac:dyDescent="0.2">
      <c r="A186" s="3" t="s">
        <v>458</v>
      </c>
      <c r="B186" s="3" t="s">
        <v>540</v>
      </c>
      <c r="C186" s="3" t="s">
        <v>196</v>
      </c>
      <c r="D186" s="3" t="s">
        <v>544</v>
      </c>
      <c r="E186" s="31" t="s">
        <v>545</v>
      </c>
      <c r="F186" s="18"/>
      <c r="G186" s="17"/>
      <c r="H186" s="17"/>
      <c r="I186" s="40"/>
      <c r="J186" s="39">
        <f t="shared" si="6"/>
        <v>0</v>
      </c>
      <c r="K186" s="40"/>
      <c r="L186" s="40"/>
    </row>
    <row r="187" spans="1:12" ht="33.75" hidden="1" customHeight="1" x14ac:dyDescent="0.2">
      <c r="A187" s="3" t="s">
        <v>458</v>
      </c>
      <c r="B187" s="3" t="s">
        <v>540</v>
      </c>
      <c r="C187" s="3" t="s">
        <v>314</v>
      </c>
      <c r="D187" s="3"/>
      <c r="E187" s="31" t="s">
        <v>344</v>
      </c>
      <c r="F187" s="18"/>
      <c r="G187" s="17"/>
      <c r="H187" s="17"/>
      <c r="I187" s="40">
        <f>I188</f>
        <v>0</v>
      </c>
      <c r="J187" s="39">
        <f t="shared" si="6"/>
        <v>0</v>
      </c>
      <c r="K187" s="40">
        <f>K188</f>
        <v>0</v>
      </c>
      <c r="L187" s="40">
        <f>L188</f>
        <v>0</v>
      </c>
    </row>
    <row r="188" spans="1:12" ht="33.75" hidden="1" customHeight="1" x14ac:dyDescent="0.2">
      <c r="A188" s="3" t="s">
        <v>458</v>
      </c>
      <c r="B188" s="3" t="s">
        <v>540</v>
      </c>
      <c r="C188" s="3" t="s">
        <v>314</v>
      </c>
      <c r="D188" s="3" t="s">
        <v>151</v>
      </c>
      <c r="E188" s="31" t="s">
        <v>152</v>
      </c>
      <c r="F188" s="18"/>
      <c r="G188" s="17"/>
      <c r="H188" s="17"/>
      <c r="I188" s="40"/>
      <c r="J188" s="39">
        <f t="shared" si="6"/>
        <v>0</v>
      </c>
      <c r="K188" s="40"/>
      <c r="L188" s="40"/>
    </row>
    <row r="189" spans="1:12" ht="33.75" hidden="1" customHeight="1" x14ac:dyDescent="0.2">
      <c r="A189" s="3" t="s">
        <v>458</v>
      </c>
      <c r="B189" s="3" t="s">
        <v>540</v>
      </c>
      <c r="C189" s="3" t="s">
        <v>315</v>
      </c>
      <c r="D189" s="3"/>
      <c r="E189" s="31" t="s">
        <v>345</v>
      </c>
      <c r="F189" s="18"/>
      <c r="G189" s="17"/>
      <c r="H189" s="17"/>
      <c r="I189" s="40">
        <f>I190</f>
        <v>0</v>
      </c>
      <c r="J189" s="39">
        <f t="shared" si="6"/>
        <v>0</v>
      </c>
      <c r="K189" s="40">
        <f>K190</f>
        <v>0</v>
      </c>
      <c r="L189" s="40">
        <f>L190</f>
        <v>0</v>
      </c>
    </row>
    <row r="190" spans="1:12" ht="33.75" hidden="1" customHeight="1" x14ac:dyDescent="0.2">
      <c r="A190" s="3" t="s">
        <v>458</v>
      </c>
      <c r="B190" s="3" t="s">
        <v>540</v>
      </c>
      <c r="C190" s="3" t="s">
        <v>315</v>
      </c>
      <c r="D190" s="3" t="s">
        <v>151</v>
      </c>
      <c r="E190" s="31" t="s">
        <v>152</v>
      </c>
      <c r="F190" s="18"/>
      <c r="G190" s="17"/>
      <c r="H190" s="17"/>
      <c r="I190" s="40"/>
      <c r="J190" s="39">
        <f t="shared" si="6"/>
        <v>0</v>
      </c>
      <c r="K190" s="40"/>
      <c r="L190" s="40"/>
    </row>
    <row r="191" spans="1:12" ht="45.75" hidden="1" customHeight="1" x14ac:dyDescent="0.2">
      <c r="A191" s="3" t="s">
        <v>458</v>
      </c>
      <c r="B191" s="3" t="s">
        <v>540</v>
      </c>
      <c r="C191" s="3" t="s">
        <v>280</v>
      </c>
      <c r="D191" s="3"/>
      <c r="E191" s="31" t="s">
        <v>293</v>
      </c>
      <c r="F191" s="18"/>
      <c r="G191" s="17"/>
      <c r="H191" s="17"/>
      <c r="I191" s="40">
        <f>I192</f>
        <v>0</v>
      </c>
      <c r="J191" s="39">
        <f t="shared" si="6"/>
        <v>0</v>
      </c>
      <c r="K191" s="40">
        <f>K192</f>
        <v>0</v>
      </c>
      <c r="L191" s="40">
        <f>L192</f>
        <v>0</v>
      </c>
    </row>
    <row r="192" spans="1:12" ht="39.75" hidden="1" customHeight="1" x14ac:dyDescent="0.2">
      <c r="A192" s="3" t="s">
        <v>458</v>
      </c>
      <c r="B192" s="3" t="s">
        <v>540</v>
      </c>
      <c r="C192" s="3" t="s">
        <v>280</v>
      </c>
      <c r="D192" s="3" t="s">
        <v>151</v>
      </c>
      <c r="E192" s="31" t="s">
        <v>152</v>
      </c>
      <c r="F192" s="18"/>
      <c r="G192" s="17"/>
      <c r="H192" s="17"/>
      <c r="I192" s="40"/>
      <c r="J192" s="39">
        <f t="shared" si="6"/>
        <v>0</v>
      </c>
      <c r="K192" s="40"/>
      <c r="L192" s="40"/>
    </row>
    <row r="193" spans="1:12" ht="20.25" hidden="1" customHeight="1" x14ac:dyDescent="0.2">
      <c r="A193" s="3" t="s">
        <v>458</v>
      </c>
      <c r="B193" s="3" t="s">
        <v>540</v>
      </c>
      <c r="C193" s="3" t="s">
        <v>359</v>
      </c>
      <c r="D193" s="3"/>
      <c r="E193" s="31" t="s">
        <v>343</v>
      </c>
      <c r="F193" s="18"/>
      <c r="G193" s="17"/>
      <c r="H193" s="17"/>
      <c r="I193" s="40">
        <f>I194</f>
        <v>0</v>
      </c>
      <c r="J193" s="39">
        <f t="shared" si="6"/>
        <v>0</v>
      </c>
      <c r="K193" s="40">
        <f>K194</f>
        <v>0</v>
      </c>
      <c r="L193" s="40">
        <f>L194</f>
        <v>0</v>
      </c>
    </row>
    <row r="194" spans="1:12" ht="23.25" hidden="1" customHeight="1" x14ac:dyDescent="0.2">
      <c r="A194" s="3" t="s">
        <v>458</v>
      </c>
      <c r="B194" s="3" t="s">
        <v>540</v>
      </c>
      <c r="C194" s="3" t="s">
        <v>359</v>
      </c>
      <c r="D194" s="3" t="s">
        <v>464</v>
      </c>
      <c r="E194" s="31" t="s">
        <v>465</v>
      </c>
      <c r="F194" s="18"/>
      <c r="G194" s="17"/>
      <c r="H194" s="17"/>
      <c r="I194" s="40"/>
      <c r="J194" s="39">
        <f t="shared" si="6"/>
        <v>0</v>
      </c>
      <c r="K194" s="40"/>
      <c r="L194" s="40"/>
    </row>
    <row r="195" spans="1:12" ht="33.75" customHeight="1" x14ac:dyDescent="0.2">
      <c r="A195" s="3" t="s">
        <v>458</v>
      </c>
      <c r="B195" s="3" t="s">
        <v>540</v>
      </c>
      <c r="C195" s="3" t="s">
        <v>78</v>
      </c>
      <c r="D195" s="2"/>
      <c r="E195" s="5" t="s">
        <v>220</v>
      </c>
      <c r="F195" s="18">
        <f>F196</f>
        <v>200000</v>
      </c>
      <c r="G195" s="19">
        <f>G196</f>
        <v>0</v>
      </c>
      <c r="H195" s="19">
        <f>H196</f>
        <v>0</v>
      </c>
      <c r="I195" s="41">
        <f>I196</f>
        <v>200000</v>
      </c>
      <c r="J195" s="39">
        <f t="shared" si="6"/>
        <v>-200000</v>
      </c>
      <c r="K195" s="41">
        <f>K196</f>
        <v>0</v>
      </c>
      <c r="L195" s="41">
        <f>L196</f>
        <v>0</v>
      </c>
    </row>
    <row r="196" spans="1:12" ht="17.100000000000001" customHeight="1" x14ac:dyDescent="0.2">
      <c r="A196" s="3" t="s">
        <v>458</v>
      </c>
      <c r="B196" s="3" t="s">
        <v>540</v>
      </c>
      <c r="C196" s="3" t="s">
        <v>78</v>
      </c>
      <c r="D196" s="42" t="s">
        <v>542</v>
      </c>
      <c r="E196" s="11" t="s">
        <v>543</v>
      </c>
      <c r="F196" s="18">
        <v>200000</v>
      </c>
      <c r="G196" s="17"/>
      <c r="H196" s="17"/>
      <c r="I196" s="40">
        <v>200000</v>
      </c>
      <c r="J196" s="39">
        <f t="shared" si="6"/>
        <v>-200000</v>
      </c>
      <c r="K196" s="40"/>
      <c r="L196" s="40"/>
    </row>
    <row r="197" spans="1:12" ht="33.75" customHeight="1" x14ac:dyDescent="0.2">
      <c r="A197" s="3" t="s">
        <v>458</v>
      </c>
      <c r="B197" s="3" t="s">
        <v>540</v>
      </c>
      <c r="C197" s="3" t="s">
        <v>78</v>
      </c>
      <c r="D197" s="42"/>
      <c r="E197" s="5" t="s">
        <v>220</v>
      </c>
      <c r="F197" s="18"/>
      <c r="G197" s="17"/>
      <c r="H197" s="17"/>
      <c r="I197" s="40">
        <f>I198</f>
        <v>0</v>
      </c>
      <c r="J197" s="39">
        <f t="shared" si="6"/>
        <v>600000</v>
      </c>
      <c r="K197" s="40">
        <f>K198</f>
        <v>600000</v>
      </c>
      <c r="L197" s="40">
        <f>L198</f>
        <v>600000</v>
      </c>
    </row>
    <row r="198" spans="1:12" ht="17.100000000000001" customHeight="1" x14ac:dyDescent="0.2">
      <c r="A198" s="3" t="s">
        <v>458</v>
      </c>
      <c r="B198" s="3" t="s">
        <v>540</v>
      </c>
      <c r="C198" s="3" t="s">
        <v>78</v>
      </c>
      <c r="D198" s="42" t="s">
        <v>482</v>
      </c>
      <c r="E198" s="44" t="s">
        <v>483</v>
      </c>
      <c r="F198" s="18"/>
      <c r="G198" s="17"/>
      <c r="H198" s="17"/>
      <c r="I198" s="40">
        <v>0</v>
      </c>
      <c r="J198" s="39">
        <f t="shared" si="6"/>
        <v>600000</v>
      </c>
      <c r="K198" s="40">
        <v>600000</v>
      </c>
      <c r="L198" s="40">
        <v>600000</v>
      </c>
    </row>
    <row r="199" spans="1:12" ht="31.5" x14ac:dyDescent="0.2">
      <c r="A199" s="3" t="s">
        <v>458</v>
      </c>
      <c r="B199" s="3" t="s">
        <v>540</v>
      </c>
      <c r="C199" s="3" t="s">
        <v>316</v>
      </c>
      <c r="D199" s="42"/>
      <c r="E199" s="31" t="s">
        <v>346</v>
      </c>
      <c r="F199" s="18"/>
      <c r="G199" s="17"/>
      <c r="H199" s="17"/>
      <c r="I199" s="40">
        <f>I200</f>
        <v>0</v>
      </c>
      <c r="J199" s="39">
        <f t="shared" si="6"/>
        <v>300000</v>
      </c>
      <c r="K199" s="40">
        <f>K200</f>
        <v>300000</v>
      </c>
      <c r="L199" s="40">
        <f>L200</f>
        <v>0</v>
      </c>
    </row>
    <row r="200" spans="1:12" ht="20.25" customHeight="1" x14ac:dyDescent="0.2">
      <c r="A200" s="3" t="s">
        <v>458</v>
      </c>
      <c r="B200" s="3" t="s">
        <v>540</v>
      </c>
      <c r="C200" s="3" t="s">
        <v>316</v>
      </c>
      <c r="D200" s="42" t="s">
        <v>482</v>
      </c>
      <c r="E200" s="44" t="s">
        <v>483</v>
      </c>
      <c r="F200" s="18"/>
      <c r="G200" s="17"/>
      <c r="H200" s="17"/>
      <c r="I200" s="40">
        <v>0</v>
      </c>
      <c r="J200" s="39">
        <f t="shared" si="6"/>
        <v>300000</v>
      </c>
      <c r="K200" s="40">
        <v>300000</v>
      </c>
      <c r="L200" s="40">
        <v>0</v>
      </c>
    </row>
    <row r="201" spans="1:12" ht="20.25" customHeight="1" x14ac:dyDescent="0.2">
      <c r="A201" s="3" t="s">
        <v>458</v>
      </c>
      <c r="B201" s="3" t="s">
        <v>377</v>
      </c>
      <c r="C201" s="3"/>
      <c r="D201" s="42"/>
      <c r="E201" s="44" t="s">
        <v>404</v>
      </c>
      <c r="F201" s="18"/>
      <c r="G201" s="17"/>
      <c r="H201" s="17"/>
      <c r="I201" s="40">
        <f>I202+I204</f>
        <v>0</v>
      </c>
      <c r="J201" s="39">
        <f t="shared" ref="J201:J264" si="7">K201-I201</f>
        <v>0</v>
      </c>
      <c r="K201" s="40">
        <f>K202+K204</f>
        <v>0</v>
      </c>
      <c r="L201" s="40">
        <f>L202+L204</f>
        <v>0</v>
      </c>
    </row>
    <row r="202" spans="1:12" ht="39" customHeight="1" x14ac:dyDescent="0.2">
      <c r="A202" s="3" t="s">
        <v>458</v>
      </c>
      <c r="B202" s="3" t="s">
        <v>377</v>
      </c>
      <c r="C202" s="3" t="s">
        <v>536</v>
      </c>
      <c r="D202" s="42"/>
      <c r="E202" s="5" t="s">
        <v>218</v>
      </c>
      <c r="F202" s="18"/>
      <c r="G202" s="17"/>
      <c r="H202" s="17"/>
      <c r="I202" s="40">
        <f>I203</f>
        <v>0</v>
      </c>
      <c r="J202" s="39">
        <f t="shared" si="7"/>
        <v>0</v>
      </c>
      <c r="K202" s="40">
        <f>K203</f>
        <v>0</v>
      </c>
      <c r="L202" s="40">
        <f>L203</f>
        <v>0</v>
      </c>
    </row>
    <row r="203" spans="1:12" ht="20.25" customHeight="1" x14ac:dyDescent="0.2">
      <c r="A203" s="3" t="s">
        <v>458</v>
      </c>
      <c r="B203" s="3" t="s">
        <v>377</v>
      </c>
      <c r="C203" s="3" t="s">
        <v>536</v>
      </c>
      <c r="D203" s="42" t="s">
        <v>482</v>
      </c>
      <c r="E203" s="44" t="s">
        <v>483</v>
      </c>
      <c r="F203" s="18"/>
      <c r="G203" s="17"/>
      <c r="H203" s="17"/>
      <c r="I203" s="40">
        <v>0</v>
      </c>
      <c r="J203" s="39">
        <f t="shared" si="7"/>
        <v>0</v>
      </c>
      <c r="K203" s="40">
        <v>0</v>
      </c>
      <c r="L203" s="40">
        <v>0</v>
      </c>
    </row>
    <row r="204" spans="1:12" ht="39.75" customHeight="1" x14ac:dyDescent="0.2">
      <c r="A204" s="3" t="s">
        <v>458</v>
      </c>
      <c r="B204" s="3" t="s">
        <v>377</v>
      </c>
      <c r="C204" s="3" t="s">
        <v>539</v>
      </c>
      <c r="D204" s="42"/>
      <c r="E204" s="5" t="s">
        <v>219</v>
      </c>
      <c r="F204" s="18"/>
      <c r="G204" s="17"/>
      <c r="H204" s="17"/>
      <c r="I204" s="40">
        <f>I205</f>
        <v>0</v>
      </c>
      <c r="J204" s="39">
        <f t="shared" si="7"/>
        <v>0</v>
      </c>
      <c r="K204" s="40">
        <f>K205</f>
        <v>0</v>
      </c>
      <c r="L204" s="40">
        <f>L205</f>
        <v>0</v>
      </c>
    </row>
    <row r="205" spans="1:12" ht="20.25" customHeight="1" x14ac:dyDescent="0.2">
      <c r="A205" s="3" t="s">
        <v>458</v>
      </c>
      <c r="B205" s="3" t="s">
        <v>377</v>
      </c>
      <c r="C205" s="3" t="s">
        <v>539</v>
      </c>
      <c r="D205" s="42" t="s">
        <v>482</v>
      </c>
      <c r="E205" s="44" t="s">
        <v>483</v>
      </c>
      <c r="F205" s="18"/>
      <c r="G205" s="17"/>
      <c r="H205" s="17"/>
      <c r="I205" s="40">
        <v>0</v>
      </c>
      <c r="J205" s="39">
        <f t="shared" si="7"/>
        <v>0</v>
      </c>
      <c r="K205" s="40">
        <v>0</v>
      </c>
      <c r="L205" s="40">
        <v>0</v>
      </c>
    </row>
    <row r="206" spans="1:12" ht="38.25" customHeight="1" x14ac:dyDescent="0.2">
      <c r="A206" s="1" t="s">
        <v>546</v>
      </c>
      <c r="B206" s="7"/>
      <c r="C206" s="7"/>
      <c r="D206" s="7"/>
      <c r="E206" s="28" t="s">
        <v>547</v>
      </c>
      <c r="F206" s="14">
        <f>F210+F227+F258+F267+F276</f>
        <v>41222990</v>
      </c>
      <c r="G206" s="12">
        <f>G210+G227+G258+G267+G276</f>
        <v>9642761</v>
      </c>
      <c r="H206" s="12">
        <f>H210+H227+H258+H267+H276</f>
        <v>25233997</v>
      </c>
      <c r="I206" s="38">
        <f>I210+I227+I258+I267+I276+I207</f>
        <v>38110107</v>
      </c>
      <c r="J206" s="38">
        <f t="shared" si="7"/>
        <v>-11327629</v>
      </c>
      <c r="K206" s="38">
        <f>K210+K227+K258+K267+K276+K207</f>
        <v>26782478</v>
      </c>
      <c r="L206" s="38">
        <f>L210+L227+L258+L267+L276+L207</f>
        <v>23284778</v>
      </c>
    </row>
    <row r="207" spans="1:12" ht="24" customHeight="1" x14ac:dyDescent="0.2">
      <c r="A207" s="3" t="s">
        <v>546</v>
      </c>
      <c r="B207" s="30" t="s">
        <v>90</v>
      </c>
      <c r="C207" s="33"/>
      <c r="D207" s="2"/>
      <c r="E207" s="31" t="s">
        <v>94</v>
      </c>
      <c r="F207" s="14"/>
      <c r="G207" s="12"/>
      <c r="H207" s="12"/>
      <c r="I207" s="39">
        <f>I208</f>
        <v>200000</v>
      </c>
      <c r="J207" s="39">
        <f t="shared" si="7"/>
        <v>0</v>
      </c>
      <c r="K207" s="39">
        <f>K208</f>
        <v>200000</v>
      </c>
      <c r="L207" s="39">
        <f>L208</f>
        <v>200000</v>
      </c>
    </row>
    <row r="208" spans="1:12" ht="18.75" customHeight="1" x14ac:dyDescent="0.2">
      <c r="A208" s="3" t="s">
        <v>546</v>
      </c>
      <c r="B208" s="30" t="s">
        <v>90</v>
      </c>
      <c r="C208" s="30" t="s">
        <v>91</v>
      </c>
      <c r="D208" s="2"/>
      <c r="E208" s="31" t="s">
        <v>95</v>
      </c>
      <c r="F208" s="14"/>
      <c r="G208" s="12"/>
      <c r="H208" s="12"/>
      <c r="I208" s="39">
        <f>I209</f>
        <v>200000</v>
      </c>
      <c r="J208" s="39">
        <f t="shared" si="7"/>
        <v>0</v>
      </c>
      <c r="K208" s="39">
        <f>K209</f>
        <v>200000</v>
      </c>
      <c r="L208" s="39">
        <f>L209</f>
        <v>200000</v>
      </c>
    </row>
    <row r="209" spans="1:12" ht="15.75" customHeight="1" x14ac:dyDescent="0.2">
      <c r="A209" s="3" t="s">
        <v>546</v>
      </c>
      <c r="B209" s="30" t="s">
        <v>90</v>
      </c>
      <c r="C209" s="30" t="s">
        <v>91</v>
      </c>
      <c r="D209" s="3" t="s">
        <v>482</v>
      </c>
      <c r="E209" s="31" t="s">
        <v>483</v>
      </c>
      <c r="F209" s="14"/>
      <c r="G209" s="12"/>
      <c r="H209" s="12"/>
      <c r="I209" s="39">
        <v>200000</v>
      </c>
      <c r="J209" s="39">
        <f t="shared" si="7"/>
        <v>0</v>
      </c>
      <c r="K209" s="39">
        <v>200000</v>
      </c>
      <c r="L209" s="39">
        <v>200000</v>
      </c>
    </row>
    <row r="210" spans="1:12" ht="16.5" customHeight="1" x14ac:dyDescent="0.2">
      <c r="A210" s="3" t="s">
        <v>546</v>
      </c>
      <c r="B210" s="3" t="s">
        <v>548</v>
      </c>
      <c r="C210" s="2"/>
      <c r="D210" s="2"/>
      <c r="E210" s="5" t="s">
        <v>549</v>
      </c>
      <c r="F210" s="15">
        <f>F211+F215+F217+F219</f>
        <v>18367558</v>
      </c>
      <c r="G210" s="13">
        <f>G211+G215+G217+G219</f>
        <v>1740850</v>
      </c>
      <c r="H210" s="13">
        <f>H211+H215+H217+H219</f>
        <v>8618718</v>
      </c>
      <c r="I210" s="39">
        <f>I211+I215+I217+I219+I213+I221+I223+I225</f>
        <v>15008438</v>
      </c>
      <c r="J210" s="39">
        <f t="shared" si="7"/>
        <v>-5483766</v>
      </c>
      <c r="K210" s="39">
        <f>K211+K215+K217+K219+K213+K221+K223+K225</f>
        <v>9524672</v>
      </c>
      <c r="L210" s="39">
        <f>L211+L215+L217+L219+L213+L221+L223+L225</f>
        <v>10524672</v>
      </c>
    </row>
    <row r="211" spans="1:12" ht="15.75" customHeight="1" x14ac:dyDescent="0.2">
      <c r="A211" s="3" t="s">
        <v>546</v>
      </c>
      <c r="B211" s="3" t="s">
        <v>548</v>
      </c>
      <c r="C211" s="3" t="s">
        <v>550</v>
      </c>
      <c r="D211" s="2"/>
      <c r="E211" s="5" t="s">
        <v>531</v>
      </c>
      <c r="F211" s="21">
        <f>F212</f>
        <v>14702632</v>
      </c>
      <c r="G211" s="13">
        <f>G212</f>
        <v>1287718</v>
      </c>
      <c r="H211" s="13">
        <f>H212</f>
        <v>8618718</v>
      </c>
      <c r="I211" s="39">
        <f>I212</f>
        <v>10870138</v>
      </c>
      <c r="J211" s="39">
        <f t="shared" si="7"/>
        <v>-1547000</v>
      </c>
      <c r="K211" s="39">
        <f>K212</f>
        <v>9323138</v>
      </c>
      <c r="L211" s="39">
        <f>L212</f>
        <v>10323138</v>
      </c>
    </row>
    <row r="212" spans="1:12" ht="15" customHeight="1" x14ac:dyDescent="0.2">
      <c r="A212" s="3" t="s">
        <v>546</v>
      </c>
      <c r="B212" s="3" t="s">
        <v>548</v>
      </c>
      <c r="C212" s="3" t="s">
        <v>550</v>
      </c>
      <c r="D212" s="3" t="s">
        <v>482</v>
      </c>
      <c r="E212" s="5" t="s">
        <v>483</v>
      </c>
      <c r="F212" s="18">
        <v>14702632</v>
      </c>
      <c r="G212" s="17">
        <v>1287718</v>
      </c>
      <c r="H212" s="17">
        <v>8618718</v>
      </c>
      <c r="I212" s="40">
        <v>10870138</v>
      </c>
      <c r="J212" s="39">
        <f t="shared" si="7"/>
        <v>-1547000</v>
      </c>
      <c r="K212" s="40">
        <v>9323138</v>
      </c>
      <c r="L212" s="40">
        <v>10323138</v>
      </c>
    </row>
    <row r="213" spans="1:12" ht="25.5" hidden="1" customHeight="1" x14ac:dyDescent="0.2">
      <c r="A213" s="3" t="s">
        <v>546</v>
      </c>
      <c r="B213" s="3" t="s">
        <v>548</v>
      </c>
      <c r="C213" s="3" t="s">
        <v>153</v>
      </c>
      <c r="D213" s="3"/>
      <c r="E213" s="5" t="s">
        <v>154</v>
      </c>
      <c r="F213" s="18"/>
      <c r="G213" s="17"/>
      <c r="H213" s="17"/>
      <c r="I213" s="40">
        <f>I214</f>
        <v>0</v>
      </c>
      <c r="J213" s="39">
        <f t="shared" si="7"/>
        <v>0</v>
      </c>
      <c r="K213" s="40">
        <f>K214</f>
        <v>0</v>
      </c>
      <c r="L213" s="40">
        <f>L214</f>
        <v>0</v>
      </c>
    </row>
    <row r="214" spans="1:12" ht="17.100000000000001" hidden="1" customHeight="1" x14ac:dyDescent="0.2">
      <c r="A214" s="3" t="s">
        <v>546</v>
      </c>
      <c r="B214" s="3" t="s">
        <v>548</v>
      </c>
      <c r="C214" s="3" t="s">
        <v>153</v>
      </c>
      <c r="D214" s="3" t="s">
        <v>482</v>
      </c>
      <c r="E214" s="5" t="s">
        <v>483</v>
      </c>
      <c r="F214" s="18"/>
      <c r="G214" s="17"/>
      <c r="H214" s="17"/>
      <c r="I214" s="40"/>
      <c r="J214" s="39">
        <f t="shared" si="7"/>
        <v>0</v>
      </c>
      <c r="K214" s="40"/>
      <c r="L214" s="40"/>
    </row>
    <row r="215" spans="1:12" ht="24.75" customHeight="1" x14ac:dyDescent="0.2">
      <c r="A215" s="3" t="s">
        <v>546</v>
      </c>
      <c r="B215" s="3" t="s">
        <v>548</v>
      </c>
      <c r="C215" s="3" t="s">
        <v>551</v>
      </c>
      <c r="D215" s="2"/>
      <c r="E215" s="5" t="s">
        <v>221</v>
      </c>
      <c r="F215" s="18">
        <f>F216</f>
        <v>1918370</v>
      </c>
      <c r="G215" s="19">
        <f>G216</f>
        <v>0</v>
      </c>
      <c r="H215" s="19">
        <f>H216</f>
        <v>0</v>
      </c>
      <c r="I215" s="41">
        <f>I216</f>
        <v>1774200</v>
      </c>
      <c r="J215" s="39">
        <f t="shared" si="7"/>
        <v>-1774200</v>
      </c>
      <c r="K215" s="41">
        <f>K216</f>
        <v>0</v>
      </c>
      <c r="L215" s="41">
        <f>L216</f>
        <v>0</v>
      </c>
    </row>
    <row r="216" spans="1:12" ht="17.100000000000001" customHeight="1" x14ac:dyDescent="0.2">
      <c r="A216" s="3" t="s">
        <v>546</v>
      </c>
      <c r="B216" s="3" t="s">
        <v>548</v>
      </c>
      <c r="C216" s="3" t="s">
        <v>551</v>
      </c>
      <c r="D216" s="3" t="s">
        <v>482</v>
      </c>
      <c r="E216" s="5" t="s">
        <v>483</v>
      </c>
      <c r="F216" s="18">
        <v>1918370</v>
      </c>
      <c r="G216" s="17">
        <v>0</v>
      </c>
      <c r="H216" s="17"/>
      <c r="I216" s="40">
        <v>1774200</v>
      </c>
      <c r="J216" s="39">
        <f t="shared" si="7"/>
        <v>-1774200</v>
      </c>
      <c r="K216" s="40"/>
      <c r="L216" s="40"/>
    </row>
    <row r="217" spans="1:12" ht="27" customHeight="1" x14ac:dyDescent="0.2">
      <c r="A217" s="3" t="s">
        <v>546</v>
      </c>
      <c r="B217" s="3" t="s">
        <v>548</v>
      </c>
      <c r="C217" s="3" t="s">
        <v>552</v>
      </c>
      <c r="D217" s="2"/>
      <c r="E217" s="5" t="s">
        <v>222</v>
      </c>
      <c r="F217" s="18">
        <f>F218</f>
        <v>1226800</v>
      </c>
      <c r="G217" s="19">
        <f>G218</f>
        <v>0</v>
      </c>
      <c r="H217" s="19">
        <f>H218</f>
        <v>0</v>
      </c>
      <c r="I217" s="41">
        <f>I218</f>
        <v>626100</v>
      </c>
      <c r="J217" s="39">
        <f t="shared" si="7"/>
        <v>-626100</v>
      </c>
      <c r="K217" s="41">
        <f>K218</f>
        <v>0</v>
      </c>
      <c r="L217" s="41">
        <f>L218</f>
        <v>0</v>
      </c>
    </row>
    <row r="218" spans="1:12" ht="17.100000000000001" customHeight="1" x14ac:dyDescent="0.2">
      <c r="A218" s="3" t="s">
        <v>546</v>
      </c>
      <c r="B218" s="3" t="s">
        <v>548</v>
      </c>
      <c r="C218" s="3" t="s">
        <v>552</v>
      </c>
      <c r="D218" s="3" t="s">
        <v>482</v>
      </c>
      <c r="E218" s="5" t="s">
        <v>483</v>
      </c>
      <c r="F218" s="18">
        <v>1226800</v>
      </c>
      <c r="G218" s="17">
        <v>0</v>
      </c>
      <c r="H218" s="17"/>
      <c r="I218" s="40">
        <v>626100</v>
      </c>
      <c r="J218" s="39">
        <f t="shared" si="7"/>
        <v>-626100</v>
      </c>
      <c r="K218" s="40"/>
      <c r="L218" s="40"/>
    </row>
    <row r="219" spans="1:12" ht="17.25" customHeight="1" x14ac:dyDescent="0.2">
      <c r="A219" s="3" t="s">
        <v>546</v>
      </c>
      <c r="B219" s="3" t="s">
        <v>548</v>
      </c>
      <c r="C219" s="3" t="s">
        <v>553</v>
      </c>
      <c r="D219" s="2"/>
      <c r="E219" s="5" t="s">
        <v>89</v>
      </c>
      <c r="F219" s="18">
        <f>F220</f>
        <v>519756</v>
      </c>
      <c r="G219" s="19">
        <f>G220</f>
        <v>453132</v>
      </c>
      <c r="H219" s="19">
        <f>H220</f>
        <v>0</v>
      </c>
      <c r="I219" s="41">
        <f>I220</f>
        <v>1213000</v>
      </c>
      <c r="J219" s="39">
        <f t="shared" si="7"/>
        <v>-1056458</v>
      </c>
      <c r="K219" s="41">
        <f>K220</f>
        <v>156542</v>
      </c>
      <c r="L219" s="41">
        <f>L220</f>
        <v>156542</v>
      </c>
    </row>
    <row r="220" spans="1:12" ht="17.100000000000001" customHeight="1" x14ac:dyDescent="0.2">
      <c r="A220" s="3" t="s">
        <v>546</v>
      </c>
      <c r="B220" s="3" t="s">
        <v>548</v>
      </c>
      <c r="C220" s="3" t="s">
        <v>553</v>
      </c>
      <c r="D220" s="3" t="s">
        <v>482</v>
      </c>
      <c r="E220" s="5" t="s">
        <v>483</v>
      </c>
      <c r="F220" s="18">
        <v>519756</v>
      </c>
      <c r="G220" s="17">
        <v>453132</v>
      </c>
      <c r="H220" s="17"/>
      <c r="I220" s="40">
        <v>1213000</v>
      </c>
      <c r="J220" s="39">
        <f t="shared" si="7"/>
        <v>-1056458</v>
      </c>
      <c r="K220" s="40">
        <v>156542</v>
      </c>
      <c r="L220" s="40">
        <v>156542</v>
      </c>
    </row>
    <row r="221" spans="1:12" ht="23.25" customHeight="1" x14ac:dyDescent="0.2">
      <c r="A221" s="29" t="s">
        <v>546</v>
      </c>
      <c r="B221" s="30" t="s">
        <v>548</v>
      </c>
      <c r="C221" s="30" t="s">
        <v>98</v>
      </c>
      <c r="D221" s="2"/>
      <c r="E221" s="31" t="s">
        <v>99</v>
      </c>
      <c r="F221" s="18"/>
      <c r="G221" s="17"/>
      <c r="H221" s="17"/>
      <c r="I221" s="40">
        <f>I222</f>
        <v>414000</v>
      </c>
      <c r="J221" s="39">
        <f t="shared" si="7"/>
        <v>-414000</v>
      </c>
      <c r="K221" s="40">
        <f>K222</f>
        <v>0</v>
      </c>
      <c r="L221" s="40">
        <f>L222</f>
        <v>0</v>
      </c>
    </row>
    <row r="222" spans="1:12" ht="17.100000000000001" customHeight="1" x14ac:dyDescent="0.2">
      <c r="A222" s="29" t="s">
        <v>546</v>
      </c>
      <c r="B222" s="30" t="s">
        <v>548</v>
      </c>
      <c r="C222" s="30" t="s">
        <v>98</v>
      </c>
      <c r="D222" s="3" t="s">
        <v>482</v>
      </c>
      <c r="E222" s="31" t="s">
        <v>483</v>
      </c>
      <c r="F222" s="18"/>
      <c r="G222" s="17"/>
      <c r="H222" s="17"/>
      <c r="I222" s="40">
        <v>414000</v>
      </c>
      <c r="J222" s="39">
        <f t="shared" si="7"/>
        <v>-414000</v>
      </c>
      <c r="K222" s="40">
        <v>0</v>
      </c>
      <c r="L222" s="40">
        <v>0</v>
      </c>
    </row>
    <row r="223" spans="1:12" ht="25.5" hidden="1" customHeight="1" x14ac:dyDescent="0.2">
      <c r="A223" s="29" t="s">
        <v>546</v>
      </c>
      <c r="B223" s="30" t="s">
        <v>548</v>
      </c>
      <c r="C223" s="30" t="s">
        <v>155</v>
      </c>
      <c r="D223" s="3"/>
      <c r="E223" s="5" t="s">
        <v>223</v>
      </c>
      <c r="F223" s="18"/>
      <c r="G223" s="17"/>
      <c r="H223" s="17"/>
      <c r="I223" s="40">
        <f>I224</f>
        <v>0</v>
      </c>
      <c r="J223" s="39">
        <f t="shared" si="7"/>
        <v>0</v>
      </c>
      <c r="K223" s="40">
        <f>K224</f>
        <v>0</v>
      </c>
      <c r="L223" s="40">
        <f>L224</f>
        <v>0</v>
      </c>
    </row>
    <row r="224" spans="1:12" ht="17.100000000000001" hidden="1" customHeight="1" x14ac:dyDescent="0.2">
      <c r="A224" s="29" t="s">
        <v>546</v>
      </c>
      <c r="B224" s="30" t="s">
        <v>548</v>
      </c>
      <c r="C224" s="30" t="s">
        <v>155</v>
      </c>
      <c r="D224" s="3" t="s">
        <v>482</v>
      </c>
      <c r="E224" s="5" t="s">
        <v>483</v>
      </c>
      <c r="F224" s="18"/>
      <c r="G224" s="17"/>
      <c r="H224" s="17"/>
      <c r="I224" s="40"/>
      <c r="J224" s="39">
        <f t="shared" si="7"/>
        <v>0</v>
      </c>
      <c r="K224" s="40"/>
      <c r="L224" s="40"/>
    </row>
    <row r="225" spans="1:12" ht="24" customHeight="1" x14ac:dyDescent="0.2">
      <c r="A225" s="29" t="s">
        <v>546</v>
      </c>
      <c r="B225" s="30" t="s">
        <v>548</v>
      </c>
      <c r="C225" s="30" t="s">
        <v>100</v>
      </c>
      <c r="D225" s="2"/>
      <c r="E225" s="31" t="s">
        <v>101</v>
      </c>
      <c r="F225" s="18"/>
      <c r="G225" s="17"/>
      <c r="H225" s="17"/>
      <c r="I225" s="40">
        <f>I226</f>
        <v>111000</v>
      </c>
      <c r="J225" s="39">
        <f t="shared" si="7"/>
        <v>-66008</v>
      </c>
      <c r="K225" s="40">
        <f>K226</f>
        <v>44992</v>
      </c>
      <c r="L225" s="40">
        <f>L226</f>
        <v>44992</v>
      </c>
    </row>
    <row r="226" spans="1:12" ht="17.100000000000001" customHeight="1" x14ac:dyDescent="0.2">
      <c r="A226" s="29" t="s">
        <v>546</v>
      </c>
      <c r="B226" s="30" t="s">
        <v>548</v>
      </c>
      <c r="C226" s="30" t="s">
        <v>100</v>
      </c>
      <c r="D226" s="3" t="s">
        <v>482</v>
      </c>
      <c r="E226" s="31" t="s">
        <v>483</v>
      </c>
      <c r="F226" s="18"/>
      <c r="G226" s="17"/>
      <c r="H226" s="17"/>
      <c r="I226" s="40">
        <v>111000</v>
      </c>
      <c r="J226" s="39">
        <f t="shared" si="7"/>
        <v>-66008</v>
      </c>
      <c r="K226" s="40">
        <v>44992</v>
      </c>
      <c r="L226" s="40">
        <v>44992</v>
      </c>
    </row>
    <row r="227" spans="1:12" ht="17.100000000000001" customHeight="1" x14ac:dyDescent="0.2">
      <c r="A227" s="3" t="s">
        <v>546</v>
      </c>
      <c r="B227" s="3" t="s">
        <v>556</v>
      </c>
      <c r="C227" s="2"/>
      <c r="D227" s="2"/>
      <c r="E227" s="5" t="s">
        <v>557</v>
      </c>
      <c r="F227" s="15">
        <f>F228+F230+F232+F234+F240+F242+F244+F250+F256</f>
        <v>15670443</v>
      </c>
      <c r="G227" s="13">
        <f>G228+G230+G232+G234+G240+G242+G244+G250+G256</f>
        <v>5344698</v>
      </c>
      <c r="H227" s="13">
        <f>H228+H230+H232+H234+H240+H242+H244+H250+H256</f>
        <v>11577169</v>
      </c>
      <c r="I227" s="39">
        <f>I228+I230+I232+I234+I240+I242+I244+I250+I256+I236+I238+I248+I254+I246+I252</f>
        <v>16286172</v>
      </c>
      <c r="J227" s="39">
        <f t="shared" si="7"/>
        <v>-6855017</v>
      </c>
      <c r="K227" s="39">
        <f>K228+K230+K232+K234+K240+K242+K244+K250+K256+K236+K238+K248+K254+K246+K252</f>
        <v>9431155</v>
      </c>
      <c r="L227" s="39">
        <f>L228+L230+L232+L234+L240+L242+L244+L250+L256+L236+L238+L248+L254+L246+L252</f>
        <v>7030055</v>
      </c>
    </row>
    <row r="228" spans="1:12" ht="19.5" customHeight="1" x14ac:dyDescent="0.2">
      <c r="A228" s="3" t="s">
        <v>546</v>
      </c>
      <c r="B228" s="3" t="s">
        <v>556</v>
      </c>
      <c r="C228" s="3" t="s">
        <v>550</v>
      </c>
      <c r="D228" s="2"/>
      <c r="E228" s="5" t="s">
        <v>531</v>
      </c>
      <c r="F228" s="15">
        <f>F229</f>
        <v>6993322</v>
      </c>
      <c r="G228" s="13">
        <f>G229</f>
        <v>845100</v>
      </c>
      <c r="H228" s="13">
        <f>H229</f>
        <v>6137096</v>
      </c>
      <c r="I228" s="39">
        <f>I229</f>
        <v>6644582</v>
      </c>
      <c r="J228" s="39">
        <f t="shared" si="7"/>
        <v>0</v>
      </c>
      <c r="K228" s="39">
        <f>K229</f>
        <v>6644582</v>
      </c>
      <c r="L228" s="39">
        <f>L229</f>
        <v>6244582</v>
      </c>
    </row>
    <row r="229" spans="1:12" ht="17.25" customHeight="1" x14ac:dyDescent="0.2">
      <c r="A229" s="3" t="s">
        <v>546</v>
      </c>
      <c r="B229" s="3" t="s">
        <v>556</v>
      </c>
      <c r="C229" s="3" t="s">
        <v>550</v>
      </c>
      <c r="D229" s="3" t="s">
        <v>482</v>
      </c>
      <c r="E229" s="5" t="s">
        <v>483</v>
      </c>
      <c r="F229" s="16">
        <v>6993322</v>
      </c>
      <c r="G229" s="19">
        <v>845100</v>
      </c>
      <c r="H229" s="19">
        <v>6137096</v>
      </c>
      <c r="I229" s="40">
        <v>6644582</v>
      </c>
      <c r="J229" s="39">
        <f t="shared" si="7"/>
        <v>0</v>
      </c>
      <c r="K229" s="40">
        <v>6644582</v>
      </c>
      <c r="L229" s="40">
        <v>6244582</v>
      </c>
    </row>
    <row r="230" spans="1:12" ht="24" customHeight="1" x14ac:dyDescent="0.2">
      <c r="A230" s="3" t="s">
        <v>546</v>
      </c>
      <c r="B230" s="3" t="s">
        <v>556</v>
      </c>
      <c r="C230" s="3" t="s">
        <v>551</v>
      </c>
      <c r="D230" s="2"/>
      <c r="E230" s="5" t="s">
        <v>221</v>
      </c>
      <c r="F230" s="16">
        <f>F231</f>
        <v>175000</v>
      </c>
      <c r="G230" s="19">
        <f>G231</f>
        <v>0</v>
      </c>
      <c r="H230" s="19">
        <f>H231</f>
        <v>0</v>
      </c>
      <c r="I230" s="41">
        <f>I231</f>
        <v>294500</v>
      </c>
      <c r="J230" s="39">
        <f t="shared" si="7"/>
        <v>0</v>
      </c>
      <c r="K230" s="41">
        <f>K231</f>
        <v>294500</v>
      </c>
      <c r="L230" s="41">
        <f>L231</f>
        <v>294500</v>
      </c>
    </row>
    <row r="231" spans="1:12" ht="17.25" customHeight="1" x14ac:dyDescent="0.2">
      <c r="A231" s="3" t="s">
        <v>546</v>
      </c>
      <c r="B231" s="3" t="s">
        <v>556</v>
      </c>
      <c r="C231" s="3" t="s">
        <v>551</v>
      </c>
      <c r="D231" s="3" t="s">
        <v>482</v>
      </c>
      <c r="E231" s="5" t="s">
        <v>483</v>
      </c>
      <c r="F231" s="16">
        <v>175000</v>
      </c>
      <c r="G231" s="17"/>
      <c r="H231" s="17"/>
      <c r="I231" s="40">
        <v>294500</v>
      </c>
      <c r="J231" s="39">
        <f t="shared" si="7"/>
        <v>0</v>
      </c>
      <c r="K231" s="40">
        <v>294500</v>
      </c>
      <c r="L231" s="40">
        <v>294500</v>
      </c>
    </row>
    <row r="232" spans="1:12" ht="16.5" customHeight="1" x14ac:dyDescent="0.2">
      <c r="A232" s="3" t="s">
        <v>546</v>
      </c>
      <c r="B232" s="3" t="s">
        <v>556</v>
      </c>
      <c r="C232" s="3" t="s">
        <v>553</v>
      </c>
      <c r="D232" s="2"/>
      <c r="E232" s="5" t="s">
        <v>89</v>
      </c>
      <c r="F232" s="18">
        <f>F233</f>
        <v>330000</v>
      </c>
      <c r="G232" s="19">
        <f>G233</f>
        <v>286676</v>
      </c>
      <c r="H232" s="19">
        <f>H233</f>
        <v>0</v>
      </c>
      <c r="I232" s="41">
        <f>I233</f>
        <v>327000</v>
      </c>
      <c r="J232" s="39">
        <f t="shared" si="7"/>
        <v>-327000</v>
      </c>
      <c r="K232" s="41">
        <f>K233</f>
        <v>0</v>
      </c>
      <c r="L232" s="41">
        <f>L233</f>
        <v>0</v>
      </c>
    </row>
    <row r="233" spans="1:12" ht="17.100000000000001" customHeight="1" x14ac:dyDescent="0.2">
      <c r="A233" s="3" t="s">
        <v>546</v>
      </c>
      <c r="B233" s="3" t="s">
        <v>556</v>
      </c>
      <c r="C233" s="3" t="s">
        <v>553</v>
      </c>
      <c r="D233" s="3" t="s">
        <v>482</v>
      </c>
      <c r="E233" s="5" t="s">
        <v>483</v>
      </c>
      <c r="F233" s="18">
        <v>330000</v>
      </c>
      <c r="G233" s="17">
        <v>286676</v>
      </c>
      <c r="H233" s="17"/>
      <c r="I233" s="40">
        <v>327000</v>
      </c>
      <c r="J233" s="39">
        <f t="shared" si="7"/>
        <v>-327000</v>
      </c>
      <c r="K233" s="40">
        <v>0</v>
      </c>
      <c r="L233" s="40">
        <v>0</v>
      </c>
    </row>
    <row r="234" spans="1:12" ht="25.5" customHeight="1" x14ac:dyDescent="0.2">
      <c r="A234" s="3" t="s">
        <v>546</v>
      </c>
      <c r="B234" s="3" t="s">
        <v>556</v>
      </c>
      <c r="C234" s="3" t="s">
        <v>555</v>
      </c>
      <c r="D234" s="2"/>
      <c r="E234" s="5" t="s">
        <v>217</v>
      </c>
      <c r="F234" s="18">
        <f>F235</f>
        <v>1151730</v>
      </c>
      <c r="G234" s="19">
        <f>G235</f>
        <v>960970</v>
      </c>
      <c r="H234" s="19">
        <f>H235</f>
        <v>0</v>
      </c>
      <c r="I234" s="41">
        <f>I235</f>
        <v>1117544</v>
      </c>
      <c r="J234" s="39">
        <f t="shared" si="7"/>
        <v>-1117544</v>
      </c>
      <c r="K234" s="41">
        <f>K235</f>
        <v>0</v>
      </c>
      <c r="L234" s="41">
        <f>L235</f>
        <v>0</v>
      </c>
    </row>
    <row r="235" spans="1:12" ht="17.100000000000001" customHeight="1" x14ac:dyDescent="0.2">
      <c r="A235" s="3" t="s">
        <v>546</v>
      </c>
      <c r="B235" s="3" t="s">
        <v>556</v>
      </c>
      <c r="C235" s="3" t="s">
        <v>555</v>
      </c>
      <c r="D235" s="3" t="s">
        <v>482</v>
      </c>
      <c r="E235" s="5" t="s">
        <v>483</v>
      </c>
      <c r="F235" s="18">
        <v>1151730</v>
      </c>
      <c r="G235" s="17">
        <v>960970</v>
      </c>
      <c r="H235" s="17"/>
      <c r="I235" s="40">
        <v>1117544</v>
      </c>
      <c r="J235" s="39">
        <f t="shared" si="7"/>
        <v>-1117544</v>
      </c>
      <c r="K235" s="40"/>
      <c r="L235" s="40"/>
    </row>
    <row r="236" spans="1:12" ht="23.25" customHeight="1" x14ac:dyDescent="0.2">
      <c r="A236" s="29" t="s">
        <v>546</v>
      </c>
      <c r="B236" s="30" t="s">
        <v>556</v>
      </c>
      <c r="C236" s="30" t="s">
        <v>98</v>
      </c>
      <c r="D236" s="2"/>
      <c r="E236" s="31" t="s">
        <v>99</v>
      </c>
      <c r="F236" s="18"/>
      <c r="G236" s="17"/>
      <c r="H236" s="17"/>
      <c r="I236" s="40">
        <f>I237</f>
        <v>173300</v>
      </c>
      <c r="J236" s="39">
        <f t="shared" si="7"/>
        <v>-173300</v>
      </c>
      <c r="K236" s="40">
        <f>K237</f>
        <v>0</v>
      </c>
      <c r="L236" s="40">
        <f>L237</f>
        <v>0</v>
      </c>
    </row>
    <row r="237" spans="1:12" ht="17.100000000000001" customHeight="1" x14ac:dyDescent="0.2">
      <c r="A237" s="29" t="s">
        <v>546</v>
      </c>
      <c r="B237" s="30" t="s">
        <v>556</v>
      </c>
      <c r="C237" s="30" t="s">
        <v>98</v>
      </c>
      <c r="D237" s="3" t="s">
        <v>482</v>
      </c>
      <c r="E237" s="31" t="s">
        <v>483</v>
      </c>
      <c r="F237" s="18"/>
      <c r="G237" s="17"/>
      <c r="H237" s="17"/>
      <c r="I237" s="40">
        <v>173300</v>
      </c>
      <c r="J237" s="39">
        <f t="shared" si="7"/>
        <v>-173300</v>
      </c>
      <c r="K237" s="40"/>
      <c r="L237" s="40"/>
    </row>
    <row r="238" spans="1:12" ht="25.5" customHeight="1" x14ac:dyDescent="0.2">
      <c r="A238" s="29" t="s">
        <v>546</v>
      </c>
      <c r="B238" s="30" t="s">
        <v>556</v>
      </c>
      <c r="C238" s="30" t="s">
        <v>100</v>
      </c>
      <c r="D238" s="2"/>
      <c r="E238" s="31" t="s">
        <v>101</v>
      </c>
      <c r="F238" s="18"/>
      <c r="G238" s="17"/>
      <c r="H238" s="17"/>
      <c r="I238" s="40">
        <f>I239</f>
        <v>42000</v>
      </c>
      <c r="J238" s="39">
        <f t="shared" si="7"/>
        <v>-42000</v>
      </c>
      <c r="K238" s="40">
        <f>K239</f>
        <v>0</v>
      </c>
      <c r="L238" s="40">
        <f>L239</f>
        <v>0</v>
      </c>
    </row>
    <row r="239" spans="1:12" ht="17.100000000000001" customHeight="1" x14ac:dyDescent="0.2">
      <c r="A239" s="29" t="s">
        <v>546</v>
      </c>
      <c r="B239" s="30" t="s">
        <v>556</v>
      </c>
      <c r="C239" s="30" t="s">
        <v>100</v>
      </c>
      <c r="D239" s="3" t="s">
        <v>482</v>
      </c>
      <c r="E239" s="31" t="s">
        <v>483</v>
      </c>
      <c r="F239" s="18"/>
      <c r="G239" s="17"/>
      <c r="H239" s="17"/>
      <c r="I239" s="40">
        <v>42000</v>
      </c>
      <c r="J239" s="39">
        <f t="shared" si="7"/>
        <v>-42000</v>
      </c>
      <c r="K239" s="40"/>
      <c r="L239" s="40"/>
    </row>
    <row r="240" spans="1:12" ht="22.5" customHeight="1" x14ac:dyDescent="0.2">
      <c r="A240" s="3" t="s">
        <v>546</v>
      </c>
      <c r="B240" s="3" t="s">
        <v>556</v>
      </c>
      <c r="C240" s="3" t="s">
        <v>558</v>
      </c>
      <c r="D240" s="2"/>
      <c r="E240" s="5" t="s">
        <v>531</v>
      </c>
      <c r="F240" s="16">
        <f>F241</f>
        <v>1294511</v>
      </c>
      <c r="G240" s="19">
        <f>G241</f>
        <v>629500</v>
      </c>
      <c r="H240" s="19">
        <f>H241</f>
        <v>0</v>
      </c>
      <c r="I240" s="41">
        <f>I241</f>
        <v>1276551</v>
      </c>
      <c r="J240" s="39">
        <f t="shared" si="7"/>
        <v>-1276551</v>
      </c>
      <c r="K240" s="41">
        <f>K241</f>
        <v>0</v>
      </c>
      <c r="L240" s="41">
        <f>L241</f>
        <v>0</v>
      </c>
    </row>
    <row r="241" spans="1:12" ht="17.100000000000001" customHeight="1" x14ac:dyDescent="0.2">
      <c r="A241" s="3" t="s">
        <v>546</v>
      </c>
      <c r="B241" s="3" t="s">
        <v>556</v>
      </c>
      <c r="C241" s="3" t="s">
        <v>558</v>
      </c>
      <c r="D241" s="3" t="s">
        <v>482</v>
      </c>
      <c r="E241" s="5" t="s">
        <v>483</v>
      </c>
      <c r="F241" s="16">
        <v>1294511</v>
      </c>
      <c r="G241" s="17">
        <v>629500</v>
      </c>
      <c r="H241" s="17"/>
      <c r="I241" s="40">
        <v>1276551</v>
      </c>
      <c r="J241" s="39">
        <f t="shared" si="7"/>
        <v>-1276551</v>
      </c>
      <c r="K241" s="40">
        <v>0</v>
      </c>
      <c r="L241" s="40">
        <v>0</v>
      </c>
    </row>
    <row r="242" spans="1:12" ht="23.25" customHeight="1" x14ac:dyDescent="0.2">
      <c r="A242" s="3" t="s">
        <v>546</v>
      </c>
      <c r="B242" s="3" t="s">
        <v>556</v>
      </c>
      <c r="C242" s="3" t="s">
        <v>559</v>
      </c>
      <c r="D242" s="2"/>
      <c r="E242" s="5" t="s">
        <v>221</v>
      </c>
      <c r="F242" s="16">
        <f>F243</f>
        <v>53000</v>
      </c>
      <c r="G242" s="19">
        <f>G243</f>
        <v>0</v>
      </c>
      <c r="H242" s="19">
        <f>H243</f>
        <v>0</v>
      </c>
      <c r="I242" s="41">
        <f>I243</f>
        <v>60000</v>
      </c>
      <c r="J242" s="39">
        <f t="shared" si="7"/>
        <v>-60000</v>
      </c>
      <c r="K242" s="41">
        <f>K243</f>
        <v>0</v>
      </c>
      <c r="L242" s="41">
        <f>L243</f>
        <v>0</v>
      </c>
    </row>
    <row r="243" spans="1:12" ht="17.100000000000001" customHeight="1" x14ac:dyDescent="0.2">
      <c r="A243" s="3" t="s">
        <v>546</v>
      </c>
      <c r="B243" s="3" t="s">
        <v>556</v>
      </c>
      <c r="C243" s="3" t="s">
        <v>559</v>
      </c>
      <c r="D243" s="3" t="s">
        <v>482</v>
      </c>
      <c r="E243" s="5" t="s">
        <v>483</v>
      </c>
      <c r="F243" s="16">
        <v>53000</v>
      </c>
      <c r="G243" s="17"/>
      <c r="H243" s="17"/>
      <c r="I243" s="40">
        <v>60000</v>
      </c>
      <c r="J243" s="39">
        <f t="shared" si="7"/>
        <v>-60000</v>
      </c>
      <c r="K243" s="40">
        <v>0</v>
      </c>
      <c r="L243" s="40">
        <v>0</v>
      </c>
    </row>
    <row r="244" spans="1:12" ht="15.75" customHeight="1" x14ac:dyDescent="0.2">
      <c r="A244" s="3" t="s">
        <v>546</v>
      </c>
      <c r="B244" s="3" t="s">
        <v>556</v>
      </c>
      <c r="C244" s="3" t="s">
        <v>560</v>
      </c>
      <c r="D244" s="2"/>
      <c r="E244" s="5" t="s">
        <v>70</v>
      </c>
      <c r="F244" s="18">
        <f>F245</f>
        <v>5465016</v>
      </c>
      <c r="G244" s="19">
        <f>G245</f>
        <v>1052000</v>
      </c>
      <c r="H244" s="19">
        <f>H245</f>
        <v>5440073</v>
      </c>
      <c r="I244" s="41">
        <f>I245</f>
        <v>5929070</v>
      </c>
      <c r="J244" s="39">
        <f t="shared" si="7"/>
        <v>-5605570</v>
      </c>
      <c r="K244" s="41">
        <f>K245</f>
        <v>323500</v>
      </c>
      <c r="L244" s="41">
        <f>L245</f>
        <v>323500</v>
      </c>
    </row>
    <row r="245" spans="1:12" ht="17.100000000000001" customHeight="1" x14ac:dyDescent="0.2">
      <c r="A245" s="3" t="s">
        <v>546</v>
      </c>
      <c r="B245" s="3" t="s">
        <v>556</v>
      </c>
      <c r="C245" s="3" t="s">
        <v>560</v>
      </c>
      <c r="D245" s="3" t="s">
        <v>482</v>
      </c>
      <c r="E245" s="5" t="s">
        <v>483</v>
      </c>
      <c r="F245" s="18">
        <v>5465016</v>
      </c>
      <c r="G245" s="17">
        <v>1052000</v>
      </c>
      <c r="H245" s="17">
        <v>5440073</v>
      </c>
      <c r="I245" s="40">
        <v>5929070</v>
      </c>
      <c r="J245" s="39">
        <f t="shared" si="7"/>
        <v>-5605570</v>
      </c>
      <c r="K245" s="40">
        <v>323500</v>
      </c>
      <c r="L245" s="40">
        <v>323500</v>
      </c>
    </row>
    <row r="246" spans="1:12" ht="24.75" hidden="1" customHeight="1" x14ac:dyDescent="0.2">
      <c r="A246" s="3" t="s">
        <v>546</v>
      </c>
      <c r="B246" s="3" t="s">
        <v>556</v>
      </c>
      <c r="C246" s="30" t="s">
        <v>156</v>
      </c>
      <c r="D246" s="3"/>
      <c r="E246" s="5" t="s">
        <v>157</v>
      </c>
      <c r="F246" s="18"/>
      <c r="G246" s="17"/>
      <c r="H246" s="17"/>
      <c r="I246" s="40">
        <f>I247</f>
        <v>0</v>
      </c>
      <c r="J246" s="39">
        <f t="shared" si="7"/>
        <v>0</v>
      </c>
      <c r="K246" s="40">
        <f>K247</f>
        <v>0</v>
      </c>
      <c r="L246" s="40">
        <f>L247</f>
        <v>0</v>
      </c>
    </row>
    <row r="247" spans="1:12" ht="17.100000000000001" hidden="1" customHeight="1" x14ac:dyDescent="0.2">
      <c r="A247" s="3" t="s">
        <v>546</v>
      </c>
      <c r="B247" s="3" t="s">
        <v>556</v>
      </c>
      <c r="C247" s="30" t="s">
        <v>156</v>
      </c>
      <c r="D247" s="3" t="s">
        <v>482</v>
      </c>
      <c r="E247" s="5" t="s">
        <v>483</v>
      </c>
      <c r="F247" s="18"/>
      <c r="G247" s="17"/>
      <c r="H247" s="17"/>
      <c r="I247" s="40"/>
      <c r="J247" s="39">
        <f t="shared" si="7"/>
        <v>0</v>
      </c>
      <c r="K247" s="40"/>
      <c r="L247" s="40"/>
    </row>
    <row r="248" spans="1:12" ht="23.25" customHeight="1" x14ac:dyDescent="0.2">
      <c r="A248" s="29" t="s">
        <v>546</v>
      </c>
      <c r="B248" s="30" t="s">
        <v>556</v>
      </c>
      <c r="C248" s="30" t="s">
        <v>79</v>
      </c>
      <c r="D248" s="2"/>
      <c r="E248" s="5" t="s">
        <v>221</v>
      </c>
      <c r="F248" s="18"/>
      <c r="G248" s="17"/>
      <c r="H248" s="17"/>
      <c r="I248" s="40">
        <f>I249</f>
        <v>256000</v>
      </c>
      <c r="J248" s="39">
        <f t="shared" si="7"/>
        <v>-256000</v>
      </c>
      <c r="K248" s="40">
        <f>K249</f>
        <v>0</v>
      </c>
      <c r="L248" s="40">
        <f>L249</f>
        <v>0</v>
      </c>
    </row>
    <row r="249" spans="1:12" ht="17.100000000000001" customHeight="1" x14ac:dyDescent="0.2">
      <c r="A249" s="29" t="s">
        <v>546</v>
      </c>
      <c r="B249" s="30" t="s">
        <v>556</v>
      </c>
      <c r="C249" s="30" t="s">
        <v>79</v>
      </c>
      <c r="D249" s="3" t="s">
        <v>482</v>
      </c>
      <c r="E249" s="31" t="s">
        <v>483</v>
      </c>
      <c r="F249" s="18"/>
      <c r="G249" s="17"/>
      <c r="H249" s="17"/>
      <c r="I249" s="40">
        <v>256000</v>
      </c>
      <c r="J249" s="39">
        <f t="shared" si="7"/>
        <v>-256000</v>
      </c>
      <c r="K249" s="40"/>
      <c r="L249" s="40"/>
    </row>
    <row r="250" spans="1:12" ht="24" customHeight="1" x14ac:dyDescent="0.2">
      <c r="A250" s="3" t="s">
        <v>546</v>
      </c>
      <c r="B250" s="3" t="s">
        <v>556</v>
      </c>
      <c r="C250" s="3" t="s">
        <v>561</v>
      </c>
      <c r="D250" s="2"/>
      <c r="E250" s="5" t="s">
        <v>554</v>
      </c>
      <c r="F250" s="18">
        <f>F251</f>
        <v>207864</v>
      </c>
      <c r="G250" s="19">
        <f>G251</f>
        <v>184952</v>
      </c>
      <c r="H250" s="19">
        <f>H251</f>
        <v>0</v>
      </c>
      <c r="I250" s="41">
        <f>I251</f>
        <v>0</v>
      </c>
      <c r="J250" s="39">
        <f t="shared" si="7"/>
        <v>167473</v>
      </c>
      <c r="K250" s="41">
        <f>K251</f>
        <v>167473</v>
      </c>
      <c r="L250" s="41">
        <f>L251</f>
        <v>167473</v>
      </c>
    </row>
    <row r="251" spans="1:12" ht="17.100000000000001" customHeight="1" x14ac:dyDescent="0.2">
      <c r="A251" s="3" t="s">
        <v>546</v>
      </c>
      <c r="B251" s="3" t="s">
        <v>556</v>
      </c>
      <c r="C251" s="3" t="s">
        <v>561</v>
      </c>
      <c r="D251" s="3" t="s">
        <v>482</v>
      </c>
      <c r="E251" s="5" t="s">
        <v>483</v>
      </c>
      <c r="F251" s="18">
        <v>207864</v>
      </c>
      <c r="G251" s="17">
        <v>184952</v>
      </c>
      <c r="H251" s="17"/>
      <c r="I251" s="40">
        <v>0</v>
      </c>
      <c r="J251" s="39">
        <f t="shared" si="7"/>
        <v>167473</v>
      </c>
      <c r="K251" s="40">
        <v>167473</v>
      </c>
      <c r="L251" s="40">
        <v>167473</v>
      </c>
    </row>
    <row r="252" spans="1:12" ht="24.75" hidden="1" customHeight="1" x14ac:dyDescent="0.2">
      <c r="A252" s="3" t="s">
        <v>546</v>
      </c>
      <c r="B252" s="3" t="s">
        <v>556</v>
      </c>
      <c r="C252" s="30" t="s">
        <v>158</v>
      </c>
      <c r="D252" s="3"/>
      <c r="E252" s="5" t="s">
        <v>224</v>
      </c>
      <c r="F252" s="18"/>
      <c r="G252" s="17"/>
      <c r="H252" s="17"/>
      <c r="I252" s="40">
        <f>I253</f>
        <v>0</v>
      </c>
      <c r="J252" s="39">
        <f t="shared" si="7"/>
        <v>0</v>
      </c>
      <c r="K252" s="40">
        <f>K253</f>
        <v>0</v>
      </c>
      <c r="L252" s="40">
        <f>L253</f>
        <v>0</v>
      </c>
    </row>
    <row r="253" spans="1:12" ht="17.100000000000001" hidden="1" customHeight="1" x14ac:dyDescent="0.2">
      <c r="A253" s="3" t="s">
        <v>546</v>
      </c>
      <c r="B253" s="3" t="s">
        <v>556</v>
      </c>
      <c r="C253" s="30" t="s">
        <v>158</v>
      </c>
      <c r="D253" s="3" t="s">
        <v>482</v>
      </c>
      <c r="E253" s="5" t="s">
        <v>483</v>
      </c>
      <c r="F253" s="18"/>
      <c r="G253" s="17"/>
      <c r="H253" s="17"/>
      <c r="I253" s="40"/>
      <c r="J253" s="39">
        <f t="shared" si="7"/>
        <v>0</v>
      </c>
      <c r="K253" s="40"/>
      <c r="L253" s="40"/>
    </row>
    <row r="254" spans="1:12" ht="26.25" customHeight="1" x14ac:dyDescent="0.2">
      <c r="A254" s="29" t="s">
        <v>546</v>
      </c>
      <c r="B254" s="30" t="s">
        <v>556</v>
      </c>
      <c r="C254" s="30" t="s">
        <v>102</v>
      </c>
      <c r="D254" s="2"/>
      <c r="E254" s="31" t="s">
        <v>103</v>
      </c>
      <c r="F254" s="18"/>
      <c r="G254" s="17"/>
      <c r="H254" s="17"/>
      <c r="I254" s="40">
        <f>I255</f>
        <v>165625</v>
      </c>
      <c r="J254" s="39">
        <f t="shared" si="7"/>
        <v>-165625</v>
      </c>
      <c r="K254" s="40">
        <f>K255</f>
        <v>0</v>
      </c>
      <c r="L254" s="40">
        <f>L255</f>
        <v>0</v>
      </c>
    </row>
    <row r="255" spans="1:12" ht="17.100000000000001" customHeight="1" x14ac:dyDescent="0.2">
      <c r="A255" s="29" t="s">
        <v>546</v>
      </c>
      <c r="B255" s="30" t="s">
        <v>556</v>
      </c>
      <c r="C255" s="30" t="s">
        <v>102</v>
      </c>
      <c r="D255" s="3" t="s">
        <v>482</v>
      </c>
      <c r="E255" s="31" t="s">
        <v>483</v>
      </c>
      <c r="F255" s="18"/>
      <c r="G255" s="17"/>
      <c r="H255" s="17"/>
      <c r="I255" s="40">
        <v>165625</v>
      </c>
      <c r="J255" s="39">
        <f t="shared" si="7"/>
        <v>-165625</v>
      </c>
      <c r="K255" s="40"/>
      <c r="L255" s="40"/>
    </row>
    <row r="256" spans="1:12" ht="37.5" customHeight="1" x14ac:dyDescent="0.2">
      <c r="A256" s="3" t="s">
        <v>546</v>
      </c>
      <c r="B256" s="3" t="s">
        <v>556</v>
      </c>
      <c r="C256" s="3" t="s">
        <v>562</v>
      </c>
      <c r="D256" s="2"/>
      <c r="E256" s="5" t="s">
        <v>563</v>
      </c>
      <c r="F256" s="18">
        <f>F257</f>
        <v>0</v>
      </c>
      <c r="G256" s="19">
        <f>G257</f>
        <v>1385500</v>
      </c>
      <c r="H256" s="19">
        <f>H257</f>
        <v>0</v>
      </c>
      <c r="I256" s="41">
        <f>I257</f>
        <v>0</v>
      </c>
      <c r="J256" s="39">
        <f t="shared" si="7"/>
        <v>2001100</v>
      </c>
      <c r="K256" s="41">
        <f>K257</f>
        <v>2001100</v>
      </c>
      <c r="L256" s="41">
        <f>L257</f>
        <v>0</v>
      </c>
    </row>
    <row r="257" spans="1:12" ht="17.100000000000001" customHeight="1" x14ac:dyDescent="0.2">
      <c r="A257" s="3" t="s">
        <v>546</v>
      </c>
      <c r="B257" s="3" t="s">
        <v>556</v>
      </c>
      <c r="C257" s="3" t="s">
        <v>562</v>
      </c>
      <c r="D257" s="3" t="s">
        <v>482</v>
      </c>
      <c r="E257" s="5" t="s">
        <v>483</v>
      </c>
      <c r="F257" s="18">
        <v>0</v>
      </c>
      <c r="G257" s="17">
        <v>1385500</v>
      </c>
      <c r="H257" s="17"/>
      <c r="I257" s="40">
        <v>0</v>
      </c>
      <c r="J257" s="39">
        <f t="shared" si="7"/>
        <v>2001100</v>
      </c>
      <c r="K257" s="40">
        <v>2001100</v>
      </c>
      <c r="L257" s="40">
        <v>0</v>
      </c>
    </row>
    <row r="258" spans="1:12" ht="20.25" customHeight="1" x14ac:dyDescent="0.2">
      <c r="A258" s="3" t="s">
        <v>546</v>
      </c>
      <c r="B258" s="3" t="s">
        <v>564</v>
      </c>
      <c r="C258" s="2"/>
      <c r="D258" s="2"/>
      <c r="E258" s="5" t="s">
        <v>565</v>
      </c>
      <c r="F258" s="15">
        <f>F259+F261+F263</f>
        <v>3416528</v>
      </c>
      <c r="G258" s="13">
        <f>G259+G261+G263</f>
        <v>0</v>
      </c>
      <c r="H258" s="13">
        <f>H259+H261+H263</f>
        <v>1616462</v>
      </c>
      <c r="I258" s="39">
        <f>I259+I261+I263+I265</f>
        <v>2289017</v>
      </c>
      <c r="J258" s="39">
        <f t="shared" si="7"/>
        <v>-90300</v>
      </c>
      <c r="K258" s="39">
        <f>K259+K261+K263+K265</f>
        <v>2198717</v>
      </c>
      <c r="L258" s="39">
        <f>L259+L261+L263+L265</f>
        <v>2198717</v>
      </c>
    </row>
    <row r="259" spans="1:12" ht="17.100000000000001" customHeight="1" x14ac:dyDescent="0.2">
      <c r="A259" s="3" t="s">
        <v>546</v>
      </c>
      <c r="B259" s="3" t="s">
        <v>564</v>
      </c>
      <c r="C259" s="3" t="s">
        <v>550</v>
      </c>
      <c r="D259" s="2"/>
      <c r="E259" s="5" t="s">
        <v>531</v>
      </c>
      <c r="F259" s="21">
        <f>F260</f>
        <v>2982228</v>
      </c>
      <c r="G259" s="13">
        <f>G260</f>
        <v>0</v>
      </c>
      <c r="H259" s="13">
        <f>H260</f>
        <v>1616462</v>
      </c>
      <c r="I259" s="39">
        <f>I260</f>
        <v>1830117</v>
      </c>
      <c r="J259" s="39">
        <f t="shared" si="7"/>
        <v>50000</v>
      </c>
      <c r="K259" s="39">
        <f>K260</f>
        <v>1880117</v>
      </c>
      <c r="L259" s="39">
        <f>L260</f>
        <v>1880117</v>
      </c>
    </row>
    <row r="260" spans="1:12" ht="17.100000000000001" customHeight="1" x14ac:dyDescent="0.2">
      <c r="A260" s="3" t="s">
        <v>546</v>
      </c>
      <c r="B260" s="3" t="s">
        <v>564</v>
      </c>
      <c r="C260" s="3" t="s">
        <v>550</v>
      </c>
      <c r="D260" s="3" t="s">
        <v>482</v>
      </c>
      <c r="E260" s="5" t="s">
        <v>483</v>
      </c>
      <c r="F260" s="18">
        <v>2982228</v>
      </c>
      <c r="G260" s="17">
        <v>0</v>
      </c>
      <c r="H260" s="17">
        <v>1616462</v>
      </c>
      <c r="I260" s="40">
        <v>1830117</v>
      </c>
      <c r="J260" s="39">
        <f t="shared" si="7"/>
        <v>50000</v>
      </c>
      <c r="K260" s="40">
        <v>1880117</v>
      </c>
      <c r="L260" s="40">
        <v>1880117</v>
      </c>
    </row>
    <row r="261" spans="1:12" ht="25.5" customHeight="1" x14ac:dyDescent="0.2">
      <c r="A261" s="3" t="s">
        <v>546</v>
      </c>
      <c r="B261" s="3" t="s">
        <v>564</v>
      </c>
      <c r="C261" s="3" t="s">
        <v>551</v>
      </c>
      <c r="D261" s="2"/>
      <c r="E261" s="5" t="s">
        <v>221</v>
      </c>
      <c r="F261" s="16">
        <f>F262</f>
        <v>395000</v>
      </c>
      <c r="G261" s="19">
        <f>G262</f>
        <v>0</v>
      </c>
      <c r="H261" s="19">
        <f>H262</f>
        <v>0</v>
      </c>
      <c r="I261" s="41">
        <f>I262</f>
        <v>318600</v>
      </c>
      <c r="J261" s="39">
        <f t="shared" si="7"/>
        <v>0</v>
      </c>
      <c r="K261" s="41">
        <f>K262</f>
        <v>318600</v>
      </c>
      <c r="L261" s="41">
        <f>L262</f>
        <v>318600</v>
      </c>
    </row>
    <row r="262" spans="1:12" ht="17.100000000000001" customHeight="1" x14ac:dyDescent="0.2">
      <c r="A262" s="3" t="s">
        <v>546</v>
      </c>
      <c r="B262" s="3" t="s">
        <v>564</v>
      </c>
      <c r="C262" s="3" t="s">
        <v>551</v>
      </c>
      <c r="D262" s="3" t="s">
        <v>482</v>
      </c>
      <c r="E262" s="5" t="s">
        <v>483</v>
      </c>
      <c r="F262" s="16">
        <v>395000</v>
      </c>
      <c r="G262" s="17"/>
      <c r="H262" s="17"/>
      <c r="I262" s="40">
        <v>318600</v>
      </c>
      <c r="J262" s="39">
        <f t="shared" si="7"/>
        <v>0</v>
      </c>
      <c r="K262" s="40">
        <v>318600</v>
      </c>
      <c r="L262" s="40">
        <v>318600</v>
      </c>
    </row>
    <row r="263" spans="1:12" ht="24" customHeight="1" x14ac:dyDescent="0.2">
      <c r="A263" s="3" t="s">
        <v>546</v>
      </c>
      <c r="B263" s="3" t="s">
        <v>564</v>
      </c>
      <c r="C263" s="3" t="s">
        <v>552</v>
      </c>
      <c r="D263" s="2"/>
      <c r="E263" s="5" t="s">
        <v>222</v>
      </c>
      <c r="F263" s="16">
        <f>F264</f>
        <v>39300</v>
      </c>
      <c r="G263" s="19">
        <f>G264</f>
        <v>0</v>
      </c>
      <c r="H263" s="19">
        <f>H264</f>
        <v>0</v>
      </c>
      <c r="I263" s="41">
        <f>I264</f>
        <v>37300</v>
      </c>
      <c r="J263" s="39">
        <f t="shared" si="7"/>
        <v>-37300</v>
      </c>
      <c r="K263" s="41">
        <f>K264</f>
        <v>0</v>
      </c>
      <c r="L263" s="41">
        <f>L264</f>
        <v>0</v>
      </c>
    </row>
    <row r="264" spans="1:12" ht="17.100000000000001" customHeight="1" x14ac:dyDescent="0.2">
      <c r="A264" s="3" t="s">
        <v>546</v>
      </c>
      <c r="B264" s="3" t="s">
        <v>564</v>
      </c>
      <c r="C264" s="3" t="s">
        <v>552</v>
      </c>
      <c r="D264" s="3" t="s">
        <v>482</v>
      </c>
      <c r="E264" s="5" t="s">
        <v>483</v>
      </c>
      <c r="F264" s="16">
        <v>39300</v>
      </c>
      <c r="G264" s="17"/>
      <c r="H264" s="17"/>
      <c r="I264" s="40">
        <v>37300</v>
      </c>
      <c r="J264" s="39">
        <f t="shared" si="7"/>
        <v>-37300</v>
      </c>
      <c r="K264" s="40">
        <v>0</v>
      </c>
      <c r="L264" s="40">
        <v>0</v>
      </c>
    </row>
    <row r="265" spans="1:12" ht="24.75" customHeight="1" x14ac:dyDescent="0.2">
      <c r="A265" s="29" t="s">
        <v>546</v>
      </c>
      <c r="B265" s="30" t="s">
        <v>564</v>
      </c>
      <c r="C265" s="30" t="s">
        <v>98</v>
      </c>
      <c r="D265" s="2"/>
      <c r="E265" s="31" t="s">
        <v>99</v>
      </c>
      <c r="F265" s="16"/>
      <c r="G265" s="17"/>
      <c r="H265" s="17"/>
      <c r="I265" s="40">
        <f>I266</f>
        <v>103000</v>
      </c>
      <c r="J265" s="39">
        <f t="shared" ref="J265:J328" si="8">K265-I265</f>
        <v>-103000</v>
      </c>
      <c r="K265" s="40">
        <f>K266</f>
        <v>0</v>
      </c>
      <c r="L265" s="40">
        <f>L266</f>
        <v>0</v>
      </c>
    </row>
    <row r="266" spans="1:12" ht="17.100000000000001" customHeight="1" x14ac:dyDescent="0.2">
      <c r="A266" s="29" t="s">
        <v>546</v>
      </c>
      <c r="B266" s="30" t="s">
        <v>564</v>
      </c>
      <c r="C266" s="30" t="s">
        <v>98</v>
      </c>
      <c r="D266" s="3" t="s">
        <v>482</v>
      </c>
      <c r="E266" s="31" t="s">
        <v>483</v>
      </c>
      <c r="F266" s="16"/>
      <c r="G266" s="17"/>
      <c r="H266" s="17"/>
      <c r="I266" s="40">
        <v>103000</v>
      </c>
      <c r="J266" s="39">
        <f t="shared" si="8"/>
        <v>-103000</v>
      </c>
      <c r="K266" s="40">
        <v>0</v>
      </c>
      <c r="L266" s="40">
        <v>0</v>
      </c>
    </row>
    <row r="267" spans="1:12" ht="15" customHeight="1" x14ac:dyDescent="0.2">
      <c r="A267" s="3" t="s">
        <v>546</v>
      </c>
      <c r="B267" s="3" t="s">
        <v>566</v>
      </c>
      <c r="C267" s="2"/>
      <c r="D267" s="2"/>
      <c r="E267" s="5" t="s">
        <v>567</v>
      </c>
      <c r="F267" s="15">
        <f>F268+F270+F272</f>
        <v>2822281</v>
      </c>
      <c r="G267" s="13">
        <f>G268+G270+G272</f>
        <v>2297213</v>
      </c>
      <c r="H267" s="13">
        <f>H268+H270+H272</f>
        <v>2442713</v>
      </c>
      <c r="I267" s="39">
        <f>I268+I270+I272+I274</f>
        <v>3106555</v>
      </c>
      <c r="J267" s="39">
        <f t="shared" si="8"/>
        <v>1086454</v>
      </c>
      <c r="K267" s="39">
        <f>K268+K270+K272+K274</f>
        <v>4193009</v>
      </c>
      <c r="L267" s="39">
        <f>L268+L270+L272+L274</f>
        <v>2396409</v>
      </c>
    </row>
    <row r="268" spans="1:12" ht="18.75" customHeight="1" x14ac:dyDescent="0.2">
      <c r="A268" s="3" t="s">
        <v>546</v>
      </c>
      <c r="B268" s="3" t="s">
        <v>566</v>
      </c>
      <c r="C268" s="3" t="s">
        <v>550</v>
      </c>
      <c r="D268" s="2"/>
      <c r="E268" s="5" t="s">
        <v>531</v>
      </c>
      <c r="F268" s="21">
        <f>F269</f>
        <v>2672281</v>
      </c>
      <c r="G268" s="13">
        <f>G269</f>
        <v>911713</v>
      </c>
      <c r="H268" s="13">
        <f>H269</f>
        <v>2442713</v>
      </c>
      <c r="I268" s="39">
        <f>I269</f>
        <v>2942555</v>
      </c>
      <c r="J268" s="39">
        <f t="shared" si="8"/>
        <v>-546146</v>
      </c>
      <c r="K268" s="39">
        <f>K269</f>
        <v>2396409</v>
      </c>
      <c r="L268" s="39">
        <f>L269</f>
        <v>2396409</v>
      </c>
    </row>
    <row r="269" spans="1:12" ht="17.100000000000001" customHeight="1" x14ac:dyDescent="0.2">
      <c r="A269" s="3" t="s">
        <v>546</v>
      </c>
      <c r="B269" s="3" t="s">
        <v>566</v>
      </c>
      <c r="C269" s="3" t="s">
        <v>550</v>
      </c>
      <c r="D269" s="3" t="s">
        <v>482</v>
      </c>
      <c r="E269" s="5" t="s">
        <v>483</v>
      </c>
      <c r="F269" s="18">
        <v>2672281</v>
      </c>
      <c r="G269" s="17">
        <f>611713+300000</f>
        <v>911713</v>
      </c>
      <c r="H269" s="17">
        <v>2442713</v>
      </c>
      <c r="I269" s="40">
        <v>2942555</v>
      </c>
      <c r="J269" s="39">
        <f t="shared" si="8"/>
        <v>-546146</v>
      </c>
      <c r="K269" s="40">
        <v>2396409</v>
      </c>
      <c r="L269" s="40">
        <v>2396409</v>
      </c>
    </row>
    <row r="270" spans="1:12" ht="23.25" customHeight="1" x14ac:dyDescent="0.2">
      <c r="A270" s="3" t="s">
        <v>546</v>
      </c>
      <c r="B270" s="3" t="s">
        <v>566</v>
      </c>
      <c r="C270" s="3" t="s">
        <v>551</v>
      </c>
      <c r="D270" s="2"/>
      <c r="E270" s="5" t="s">
        <v>221</v>
      </c>
      <c r="F270" s="16">
        <f>F271</f>
        <v>150000</v>
      </c>
      <c r="G270" s="19">
        <f>G271</f>
        <v>0</v>
      </c>
      <c r="H270" s="19">
        <f>H271</f>
        <v>0</v>
      </c>
      <c r="I270" s="41">
        <f>I271</f>
        <v>164000</v>
      </c>
      <c r="J270" s="39">
        <f t="shared" si="8"/>
        <v>-164000</v>
      </c>
      <c r="K270" s="41">
        <f>K271</f>
        <v>0</v>
      </c>
      <c r="L270" s="41">
        <f>L271</f>
        <v>0</v>
      </c>
    </row>
    <row r="271" spans="1:12" ht="17.100000000000001" customHeight="1" x14ac:dyDescent="0.2">
      <c r="A271" s="3" t="s">
        <v>546</v>
      </c>
      <c r="B271" s="3" t="s">
        <v>566</v>
      </c>
      <c r="C271" s="3" t="s">
        <v>551</v>
      </c>
      <c r="D271" s="3" t="s">
        <v>482</v>
      </c>
      <c r="E271" s="5" t="s">
        <v>483</v>
      </c>
      <c r="F271" s="16">
        <v>150000</v>
      </c>
      <c r="G271" s="17"/>
      <c r="H271" s="17"/>
      <c r="I271" s="40">
        <v>164000</v>
      </c>
      <c r="J271" s="39">
        <f t="shared" si="8"/>
        <v>-164000</v>
      </c>
      <c r="K271" s="40">
        <v>0</v>
      </c>
      <c r="L271" s="40">
        <v>0</v>
      </c>
    </row>
    <row r="272" spans="1:12" ht="39.75" customHeight="1" x14ac:dyDescent="0.2">
      <c r="A272" s="3" t="s">
        <v>546</v>
      </c>
      <c r="B272" s="3" t="s">
        <v>566</v>
      </c>
      <c r="C272" s="3" t="s">
        <v>562</v>
      </c>
      <c r="D272" s="2"/>
      <c r="E272" s="5" t="s">
        <v>563</v>
      </c>
      <c r="F272" s="18">
        <f>F273</f>
        <v>0</v>
      </c>
      <c r="G272" s="19">
        <f>G273</f>
        <v>1385500</v>
      </c>
      <c r="H272" s="19">
        <f>H273</f>
        <v>0</v>
      </c>
      <c r="I272" s="41">
        <f>I273</f>
        <v>0</v>
      </c>
      <c r="J272" s="39">
        <f t="shared" si="8"/>
        <v>335500</v>
      </c>
      <c r="K272" s="41">
        <f>K273</f>
        <v>335500</v>
      </c>
      <c r="L272" s="41">
        <f>L273</f>
        <v>0</v>
      </c>
    </row>
    <row r="273" spans="1:15" ht="17.100000000000001" customHeight="1" x14ac:dyDescent="0.2">
      <c r="A273" s="3" t="s">
        <v>546</v>
      </c>
      <c r="B273" s="3" t="s">
        <v>566</v>
      </c>
      <c r="C273" s="3" t="s">
        <v>562</v>
      </c>
      <c r="D273" s="3" t="s">
        <v>482</v>
      </c>
      <c r="E273" s="5" t="s">
        <v>483</v>
      </c>
      <c r="F273" s="18">
        <v>0</v>
      </c>
      <c r="G273" s="17">
        <v>1385500</v>
      </c>
      <c r="H273" s="17"/>
      <c r="I273" s="40">
        <v>0</v>
      </c>
      <c r="J273" s="39">
        <f t="shared" si="8"/>
        <v>335500</v>
      </c>
      <c r="K273" s="40">
        <v>335500</v>
      </c>
      <c r="L273" s="40">
        <v>0</v>
      </c>
      <c r="M273" s="9"/>
      <c r="N273" s="9"/>
      <c r="O273" s="9"/>
    </row>
    <row r="274" spans="1:15" ht="26.25" customHeight="1" x14ac:dyDescent="0.2">
      <c r="A274" s="3" t="s">
        <v>546</v>
      </c>
      <c r="B274" s="3" t="s">
        <v>566</v>
      </c>
      <c r="C274" s="3" t="s">
        <v>104</v>
      </c>
      <c r="D274" s="3"/>
      <c r="E274" s="59" t="s">
        <v>403</v>
      </c>
      <c r="F274" s="18"/>
      <c r="G274" s="17"/>
      <c r="H274" s="17"/>
      <c r="I274" s="40">
        <f>I275</f>
        <v>0</v>
      </c>
      <c r="J274" s="39">
        <f t="shared" si="8"/>
        <v>1461100</v>
      </c>
      <c r="K274" s="40">
        <f>K275</f>
        <v>1461100</v>
      </c>
      <c r="L274" s="40">
        <f>L275</f>
        <v>0</v>
      </c>
      <c r="M274" s="9"/>
      <c r="N274" s="9"/>
      <c r="O274" s="9"/>
    </row>
    <row r="275" spans="1:15" ht="17.100000000000001" customHeight="1" x14ac:dyDescent="0.2">
      <c r="A275" s="3" t="s">
        <v>546</v>
      </c>
      <c r="B275" s="3" t="s">
        <v>566</v>
      </c>
      <c r="C275" s="3" t="s">
        <v>104</v>
      </c>
      <c r="D275" s="3" t="s">
        <v>482</v>
      </c>
      <c r="E275" s="5" t="s">
        <v>483</v>
      </c>
      <c r="F275" s="18"/>
      <c r="G275" s="17"/>
      <c r="H275" s="17"/>
      <c r="I275" s="40">
        <v>0</v>
      </c>
      <c r="J275" s="39">
        <f t="shared" si="8"/>
        <v>1461100</v>
      </c>
      <c r="K275" s="40">
        <v>1461100</v>
      </c>
      <c r="L275" s="40">
        <v>0</v>
      </c>
      <c r="M275" s="9"/>
      <c r="N275" s="9"/>
      <c r="O275" s="9"/>
    </row>
    <row r="276" spans="1:15" ht="24.75" customHeight="1" x14ac:dyDescent="0.2">
      <c r="A276" s="3" t="s">
        <v>546</v>
      </c>
      <c r="B276" s="3" t="s">
        <v>534</v>
      </c>
      <c r="C276" s="2"/>
      <c r="D276" s="2"/>
      <c r="E276" s="5" t="s">
        <v>535</v>
      </c>
      <c r="F276" s="15">
        <f>F277+F283+F289</f>
        <v>946180</v>
      </c>
      <c r="G276" s="13">
        <f>G277+G283+G289</f>
        <v>260000</v>
      </c>
      <c r="H276" s="13">
        <f>H277+H283+H289</f>
        <v>978935</v>
      </c>
      <c r="I276" s="39">
        <f>I277+I283+I289+I285+I293+I281+I291+I279+I287</f>
        <v>1219925</v>
      </c>
      <c r="J276" s="39">
        <f t="shared" si="8"/>
        <v>15000</v>
      </c>
      <c r="K276" s="39">
        <f>K277+K283+K289+K285+K293+K281+K291+K279+K287</f>
        <v>1234925</v>
      </c>
      <c r="L276" s="39">
        <f>L277+L283+L289+L285+L293+L281+L291+L279+L287</f>
        <v>934925</v>
      </c>
    </row>
    <row r="277" spans="1:15" ht="21" x14ac:dyDescent="0.2">
      <c r="A277" s="3" t="s">
        <v>546</v>
      </c>
      <c r="B277" s="3" t="s">
        <v>534</v>
      </c>
      <c r="C277" s="3" t="s">
        <v>568</v>
      </c>
      <c r="D277" s="2"/>
      <c r="E277" s="5" t="s">
        <v>225</v>
      </c>
      <c r="F277" s="21">
        <f>F278</f>
        <v>831180</v>
      </c>
      <c r="G277" s="13">
        <f>G278</f>
        <v>260000</v>
      </c>
      <c r="H277" s="13">
        <f>H278</f>
        <v>978935</v>
      </c>
      <c r="I277" s="39">
        <f>I278</f>
        <v>819925</v>
      </c>
      <c r="J277" s="39">
        <f t="shared" si="8"/>
        <v>0</v>
      </c>
      <c r="K277" s="39">
        <f>K278</f>
        <v>819925</v>
      </c>
      <c r="L277" s="39">
        <f>L278</f>
        <v>819925</v>
      </c>
    </row>
    <row r="278" spans="1:15" ht="17.100000000000001" customHeight="1" x14ac:dyDescent="0.2">
      <c r="A278" s="3" t="s">
        <v>546</v>
      </c>
      <c r="B278" s="3" t="s">
        <v>534</v>
      </c>
      <c r="C278" s="3" t="s">
        <v>568</v>
      </c>
      <c r="D278" s="3" t="s">
        <v>482</v>
      </c>
      <c r="E278" s="5" t="s">
        <v>483</v>
      </c>
      <c r="F278" s="18">
        <v>831180</v>
      </c>
      <c r="G278" s="17">
        <v>260000</v>
      </c>
      <c r="H278" s="17">
        <v>978935</v>
      </c>
      <c r="I278" s="40">
        <v>819925</v>
      </c>
      <c r="J278" s="39">
        <f t="shared" si="8"/>
        <v>0</v>
      </c>
      <c r="K278" s="40">
        <v>819925</v>
      </c>
      <c r="L278" s="40">
        <v>819925</v>
      </c>
    </row>
    <row r="279" spans="1:15" ht="32.25" hidden="1" customHeight="1" x14ac:dyDescent="0.2">
      <c r="A279" s="3" t="s">
        <v>546</v>
      </c>
      <c r="B279" s="3" t="s">
        <v>534</v>
      </c>
      <c r="C279" s="3" t="s">
        <v>281</v>
      </c>
      <c r="D279" s="3"/>
      <c r="E279" s="31" t="s">
        <v>294</v>
      </c>
      <c r="F279" s="18"/>
      <c r="G279" s="17"/>
      <c r="H279" s="17"/>
      <c r="I279" s="40">
        <f>I280</f>
        <v>0</v>
      </c>
      <c r="J279" s="39">
        <f t="shared" si="8"/>
        <v>0</v>
      </c>
      <c r="K279" s="40">
        <f>K280</f>
        <v>0</v>
      </c>
      <c r="L279" s="40">
        <f>L280</f>
        <v>0</v>
      </c>
    </row>
    <row r="280" spans="1:15" ht="17.100000000000001" hidden="1" customHeight="1" x14ac:dyDescent="0.2">
      <c r="A280" s="3" t="s">
        <v>546</v>
      </c>
      <c r="B280" s="3" t="s">
        <v>534</v>
      </c>
      <c r="C280" s="3" t="s">
        <v>281</v>
      </c>
      <c r="D280" s="3" t="s">
        <v>482</v>
      </c>
      <c r="E280" s="31" t="s">
        <v>483</v>
      </c>
      <c r="F280" s="18"/>
      <c r="G280" s="17"/>
      <c r="H280" s="17"/>
      <c r="I280" s="40"/>
      <c r="J280" s="39">
        <f t="shared" si="8"/>
        <v>0</v>
      </c>
      <c r="K280" s="40"/>
      <c r="L280" s="40"/>
    </row>
    <row r="281" spans="1:15" ht="31.5" x14ac:dyDescent="0.2">
      <c r="A281" s="3" t="s">
        <v>546</v>
      </c>
      <c r="B281" s="3" t="s">
        <v>534</v>
      </c>
      <c r="C281" s="3" t="s">
        <v>569</v>
      </c>
      <c r="D281" s="2"/>
      <c r="E281" s="5" t="s">
        <v>226</v>
      </c>
      <c r="F281" s="16">
        <f>F282</f>
        <v>0</v>
      </c>
      <c r="G281" s="19">
        <f>G282</f>
        <v>0</v>
      </c>
      <c r="H281" s="19">
        <f>H282</f>
        <v>0</v>
      </c>
      <c r="I281" s="41">
        <f>I282</f>
        <v>130000</v>
      </c>
      <c r="J281" s="39">
        <f t="shared" si="8"/>
        <v>-130000</v>
      </c>
      <c r="K281" s="40">
        <f>K282</f>
        <v>0</v>
      </c>
      <c r="L281" s="40">
        <f>L282</f>
        <v>0</v>
      </c>
    </row>
    <row r="282" spans="1:15" ht="27" customHeight="1" x14ac:dyDescent="0.2">
      <c r="A282" s="3" t="s">
        <v>546</v>
      </c>
      <c r="B282" s="3" t="s">
        <v>534</v>
      </c>
      <c r="C282" s="3" t="s">
        <v>569</v>
      </c>
      <c r="D282" s="3" t="s">
        <v>537</v>
      </c>
      <c r="E282" s="5" t="s">
        <v>538</v>
      </c>
      <c r="F282" s="16">
        <v>0</v>
      </c>
      <c r="G282" s="17"/>
      <c r="H282" s="17"/>
      <c r="I282" s="40">
        <v>130000</v>
      </c>
      <c r="J282" s="39">
        <f t="shared" si="8"/>
        <v>-130000</v>
      </c>
      <c r="K282" s="40">
        <v>0</v>
      </c>
      <c r="L282" s="40">
        <v>0</v>
      </c>
    </row>
    <row r="283" spans="1:15" ht="37.5" customHeight="1" x14ac:dyDescent="0.2">
      <c r="A283" s="3" t="s">
        <v>546</v>
      </c>
      <c r="B283" s="3" t="s">
        <v>534</v>
      </c>
      <c r="C283" s="3" t="s">
        <v>569</v>
      </c>
      <c r="D283" s="2"/>
      <c r="E283" s="5" t="s">
        <v>226</v>
      </c>
      <c r="F283" s="16">
        <f>F284</f>
        <v>0</v>
      </c>
      <c r="G283" s="19">
        <f>G284</f>
        <v>0</v>
      </c>
      <c r="H283" s="19">
        <f>H284</f>
        <v>0</v>
      </c>
      <c r="I283" s="41">
        <f>I284</f>
        <v>0</v>
      </c>
      <c r="J283" s="39">
        <f t="shared" si="8"/>
        <v>130000</v>
      </c>
      <c r="K283" s="41">
        <f>K284</f>
        <v>130000</v>
      </c>
      <c r="L283" s="41">
        <f>L284</f>
        <v>0</v>
      </c>
    </row>
    <row r="284" spans="1:15" ht="26.25" customHeight="1" x14ac:dyDescent="0.2">
      <c r="A284" s="3" t="s">
        <v>546</v>
      </c>
      <c r="B284" s="3" t="s">
        <v>534</v>
      </c>
      <c r="C284" s="3" t="s">
        <v>569</v>
      </c>
      <c r="D284" s="3" t="s">
        <v>482</v>
      </c>
      <c r="E284" s="31" t="s">
        <v>483</v>
      </c>
      <c r="F284" s="16">
        <v>0</v>
      </c>
      <c r="G284" s="17"/>
      <c r="H284" s="17"/>
      <c r="I284" s="40">
        <v>0</v>
      </c>
      <c r="J284" s="39">
        <f t="shared" si="8"/>
        <v>130000</v>
      </c>
      <c r="K284" s="40">
        <v>130000</v>
      </c>
      <c r="L284" s="40">
        <v>0</v>
      </c>
    </row>
    <row r="285" spans="1:15" ht="31.5" x14ac:dyDescent="0.2">
      <c r="A285" s="29" t="s">
        <v>546</v>
      </c>
      <c r="B285" s="30" t="s">
        <v>534</v>
      </c>
      <c r="C285" s="30" t="s">
        <v>635</v>
      </c>
      <c r="D285" s="2"/>
      <c r="E285" s="5" t="s">
        <v>227</v>
      </c>
      <c r="F285" s="16"/>
      <c r="G285" s="17"/>
      <c r="H285" s="17"/>
      <c r="I285" s="40">
        <f>I286</f>
        <v>170000</v>
      </c>
      <c r="J285" s="39">
        <f t="shared" si="8"/>
        <v>-170000</v>
      </c>
      <c r="K285" s="40">
        <f>K286</f>
        <v>0</v>
      </c>
      <c r="L285" s="40">
        <f>L286</f>
        <v>0</v>
      </c>
    </row>
    <row r="286" spans="1:15" ht="23.25" customHeight="1" x14ac:dyDescent="0.2">
      <c r="A286" s="29" t="s">
        <v>546</v>
      </c>
      <c r="B286" s="30" t="s">
        <v>534</v>
      </c>
      <c r="C286" s="30" t="s">
        <v>635</v>
      </c>
      <c r="D286" s="3" t="s">
        <v>537</v>
      </c>
      <c r="E286" s="5" t="s">
        <v>538</v>
      </c>
      <c r="F286" s="16"/>
      <c r="G286" s="17"/>
      <c r="H286" s="17"/>
      <c r="I286" s="40">
        <v>170000</v>
      </c>
      <c r="J286" s="39">
        <f t="shared" si="8"/>
        <v>-170000</v>
      </c>
      <c r="K286" s="40">
        <v>0</v>
      </c>
      <c r="L286" s="40">
        <v>0</v>
      </c>
    </row>
    <row r="287" spans="1:15" ht="37.5" customHeight="1" x14ac:dyDescent="0.2">
      <c r="A287" s="29" t="s">
        <v>546</v>
      </c>
      <c r="B287" s="30" t="s">
        <v>534</v>
      </c>
      <c r="C287" s="30" t="s">
        <v>635</v>
      </c>
      <c r="D287" s="2"/>
      <c r="E287" s="5" t="s">
        <v>227</v>
      </c>
      <c r="F287" s="16"/>
      <c r="G287" s="17"/>
      <c r="H287" s="17"/>
      <c r="I287" s="40">
        <f>I288</f>
        <v>0</v>
      </c>
      <c r="J287" s="39">
        <f t="shared" si="8"/>
        <v>170000</v>
      </c>
      <c r="K287" s="40">
        <f>K288</f>
        <v>170000</v>
      </c>
      <c r="L287" s="40">
        <f>L288</f>
        <v>0</v>
      </c>
    </row>
    <row r="288" spans="1:15" ht="23.25" customHeight="1" x14ac:dyDescent="0.2">
      <c r="A288" s="29" t="s">
        <v>546</v>
      </c>
      <c r="B288" s="30" t="s">
        <v>534</v>
      </c>
      <c r="C288" s="30" t="s">
        <v>635</v>
      </c>
      <c r="D288" s="3" t="s">
        <v>482</v>
      </c>
      <c r="E288" s="31" t="s">
        <v>483</v>
      </c>
      <c r="F288" s="16"/>
      <c r="G288" s="17"/>
      <c r="H288" s="17"/>
      <c r="I288" s="40">
        <v>0</v>
      </c>
      <c r="J288" s="39">
        <f t="shared" si="8"/>
        <v>170000</v>
      </c>
      <c r="K288" s="40">
        <v>170000</v>
      </c>
      <c r="L288" s="40">
        <v>0</v>
      </c>
    </row>
    <row r="289" spans="1:12" ht="38.25" customHeight="1" x14ac:dyDescent="0.2">
      <c r="A289" s="3" t="s">
        <v>546</v>
      </c>
      <c r="B289" s="3" t="s">
        <v>534</v>
      </c>
      <c r="C289" s="3" t="s">
        <v>378</v>
      </c>
      <c r="D289" s="2"/>
      <c r="E289" s="5" t="s">
        <v>228</v>
      </c>
      <c r="F289" s="16">
        <f>F290</f>
        <v>115000</v>
      </c>
      <c r="G289" s="19">
        <f>G290</f>
        <v>0</v>
      </c>
      <c r="H289" s="19">
        <f>H290</f>
        <v>0</v>
      </c>
      <c r="I289" s="41">
        <f>I290</f>
        <v>0</v>
      </c>
      <c r="J289" s="39">
        <f t="shared" si="8"/>
        <v>115000</v>
      </c>
      <c r="K289" s="41">
        <f>K290</f>
        <v>115000</v>
      </c>
      <c r="L289" s="41">
        <f>L290</f>
        <v>115000</v>
      </c>
    </row>
    <row r="290" spans="1:12" ht="23.25" customHeight="1" x14ac:dyDescent="0.2">
      <c r="A290" s="3" t="s">
        <v>546</v>
      </c>
      <c r="B290" s="3" t="s">
        <v>534</v>
      </c>
      <c r="C290" s="3" t="s">
        <v>378</v>
      </c>
      <c r="D290" s="3" t="s">
        <v>482</v>
      </c>
      <c r="E290" s="31" t="s">
        <v>483</v>
      </c>
      <c r="F290" s="16">
        <v>115000</v>
      </c>
      <c r="G290" s="17"/>
      <c r="H290" s="17"/>
      <c r="I290" s="40">
        <v>0</v>
      </c>
      <c r="J290" s="39">
        <f t="shared" si="8"/>
        <v>115000</v>
      </c>
      <c r="K290" s="40">
        <v>115000</v>
      </c>
      <c r="L290" s="40">
        <v>115000</v>
      </c>
    </row>
    <row r="291" spans="1:12" ht="33.75" hidden="1" customHeight="1" x14ac:dyDescent="0.2">
      <c r="A291" s="29" t="s">
        <v>546</v>
      </c>
      <c r="B291" s="30" t="s">
        <v>534</v>
      </c>
      <c r="C291" s="30" t="s">
        <v>179</v>
      </c>
      <c r="D291" s="2"/>
      <c r="E291" s="5" t="s">
        <v>229</v>
      </c>
      <c r="F291" s="16"/>
      <c r="G291" s="17"/>
      <c r="H291" s="17"/>
      <c r="I291" s="40">
        <f>I292</f>
        <v>0</v>
      </c>
      <c r="J291" s="39">
        <f t="shared" si="8"/>
        <v>0</v>
      </c>
      <c r="K291" s="40">
        <f>K292</f>
        <v>0</v>
      </c>
      <c r="L291" s="40">
        <f>L292</f>
        <v>0</v>
      </c>
    </row>
    <row r="292" spans="1:12" ht="23.25" hidden="1" customHeight="1" x14ac:dyDescent="0.2">
      <c r="A292" s="29" t="s">
        <v>546</v>
      </c>
      <c r="B292" s="30" t="s">
        <v>534</v>
      </c>
      <c r="C292" s="30" t="s">
        <v>179</v>
      </c>
      <c r="D292" s="3" t="s">
        <v>537</v>
      </c>
      <c r="E292" s="5" t="s">
        <v>538</v>
      </c>
      <c r="F292" s="16"/>
      <c r="G292" s="17"/>
      <c r="H292" s="17"/>
      <c r="I292" s="40"/>
      <c r="J292" s="39">
        <f t="shared" si="8"/>
        <v>0</v>
      </c>
      <c r="K292" s="40"/>
      <c r="L292" s="40"/>
    </row>
    <row r="293" spans="1:12" ht="24" customHeight="1" x14ac:dyDescent="0.2">
      <c r="A293" s="29" t="s">
        <v>546</v>
      </c>
      <c r="B293" s="30" t="s">
        <v>534</v>
      </c>
      <c r="C293" s="30" t="s">
        <v>104</v>
      </c>
      <c r="D293" s="2"/>
      <c r="E293" s="31" t="s">
        <v>105</v>
      </c>
      <c r="F293" s="16"/>
      <c r="G293" s="17"/>
      <c r="H293" s="17"/>
      <c r="I293" s="40">
        <f>I294</f>
        <v>100000</v>
      </c>
      <c r="J293" s="39">
        <f t="shared" si="8"/>
        <v>-100000</v>
      </c>
      <c r="K293" s="40">
        <f>K294</f>
        <v>0</v>
      </c>
      <c r="L293" s="40">
        <f>L294</f>
        <v>0</v>
      </c>
    </row>
    <row r="294" spans="1:12" ht="20.25" customHeight="1" x14ac:dyDescent="0.2">
      <c r="A294" s="29" t="s">
        <v>546</v>
      </c>
      <c r="B294" s="30" t="s">
        <v>534</v>
      </c>
      <c r="C294" s="30" t="s">
        <v>104</v>
      </c>
      <c r="D294" s="3" t="s">
        <v>537</v>
      </c>
      <c r="E294" s="5" t="s">
        <v>538</v>
      </c>
      <c r="F294" s="16"/>
      <c r="G294" s="17"/>
      <c r="H294" s="17"/>
      <c r="I294" s="40">
        <v>100000</v>
      </c>
      <c r="J294" s="39">
        <f t="shared" si="8"/>
        <v>-100000</v>
      </c>
      <c r="K294" s="40">
        <v>0</v>
      </c>
      <c r="L294" s="40">
        <v>0</v>
      </c>
    </row>
    <row r="295" spans="1:12" ht="27" customHeight="1" x14ac:dyDescent="0.2">
      <c r="A295" s="1" t="s">
        <v>570</v>
      </c>
      <c r="B295" s="7"/>
      <c r="C295" s="7"/>
      <c r="D295" s="7"/>
      <c r="E295" s="28" t="s">
        <v>571</v>
      </c>
      <c r="F295" s="14">
        <f>F296+F309+F358</f>
        <v>12773246</v>
      </c>
      <c r="G295" s="12">
        <f>G296+G309+G358</f>
        <v>4377131</v>
      </c>
      <c r="H295" s="12">
        <f>H296+H309+H358</f>
        <v>14860911</v>
      </c>
      <c r="I295" s="38">
        <f>I296+I309+I358+I377</f>
        <v>18011412</v>
      </c>
      <c r="J295" s="38">
        <f t="shared" si="8"/>
        <v>1612942</v>
      </c>
      <c r="K295" s="38">
        <f>K296+K309+K358+K377</f>
        <v>19624354</v>
      </c>
      <c r="L295" s="38">
        <f>L296+L309+L358+L377</f>
        <v>20238398</v>
      </c>
    </row>
    <row r="296" spans="1:12" ht="17.100000000000001" customHeight="1" x14ac:dyDescent="0.2">
      <c r="A296" s="3" t="s">
        <v>570</v>
      </c>
      <c r="B296" s="3" t="s">
        <v>528</v>
      </c>
      <c r="C296" s="2"/>
      <c r="D296" s="2"/>
      <c r="E296" s="5" t="s">
        <v>529</v>
      </c>
      <c r="F296" s="15">
        <f>F297+F299+F301</f>
        <v>880200</v>
      </c>
      <c r="G296" s="13">
        <f>G297+G299+G301</f>
        <v>70567</v>
      </c>
      <c r="H296" s="13">
        <f>H297+H299+H301</f>
        <v>795307</v>
      </c>
      <c r="I296" s="39">
        <f>I297+I299+I301+I303+I305+I307</f>
        <v>918776</v>
      </c>
      <c r="J296" s="39">
        <f t="shared" si="8"/>
        <v>-15324</v>
      </c>
      <c r="K296" s="39">
        <f>K297+K299+K301+K303+K305+K307</f>
        <v>903452</v>
      </c>
      <c r="L296" s="39">
        <f>L297+L299+L301+L303+L305+L307</f>
        <v>983051</v>
      </c>
    </row>
    <row r="297" spans="1:12" ht="15.75" customHeight="1" x14ac:dyDescent="0.2">
      <c r="A297" s="3" t="s">
        <v>570</v>
      </c>
      <c r="B297" s="3" t="s">
        <v>528</v>
      </c>
      <c r="C297" s="3" t="s">
        <v>530</v>
      </c>
      <c r="D297" s="2"/>
      <c r="E297" s="5" t="s">
        <v>531</v>
      </c>
      <c r="F297" s="21">
        <f>F298</f>
        <v>814620</v>
      </c>
      <c r="G297" s="13">
        <f>G298</f>
        <v>43000</v>
      </c>
      <c r="H297" s="13">
        <f>H298</f>
        <v>795307</v>
      </c>
      <c r="I297" s="39">
        <f>I298</f>
        <v>830152</v>
      </c>
      <c r="J297" s="39">
        <f t="shared" si="8"/>
        <v>41030</v>
      </c>
      <c r="K297" s="39">
        <f>K298</f>
        <v>871182</v>
      </c>
      <c r="L297" s="39">
        <f>L298</f>
        <v>950781</v>
      </c>
    </row>
    <row r="298" spans="1:12" ht="17.100000000000001" customHeight="1" x14ac:dyDescent="0.2">
      <c r="A298" s="3" t="s">
        <v>570</v>
      </c>
      <c r="B298" s="3" t="s">
        <v>528</v>
      </c>
      <c r="C298" s="3" t="s">
        <v>530</v>
      </c>
      <c r="D298" s="3" t="s">
        <v>482</v>
      </c>
      <c r="E298" s="5" t="s">
        <v>483</v>
      </c>
      <c r="F298" s="18">
        <v>814620</v>
      </c>
      <c r="G298" s="17">
        <v>43000</v>
      </c>
      <c r="H298" s="17">
        <v>795307</v>
      </c>
      <c r="I298" s="40">
        <v>830152</v>
      </c>
      <c r="J298" s="39">
        <f t="shared" si="8"/>
        <v>41030</v>
      </c>
      <c r="K298" s="40">
        <v>871182</v>
      </c>
      <c r="L298" s="40">
        <v>950781</v>
      </c>
    </row>
    <row r="299" spans="1:12" ht="26.25" customHeight="1" x14ac:dyDescent="0.2">
      <c r="A299" s="3" t="s">
        <v>570</v>
      </c>
      <c r="B299" s="3" t="s">
        <v>528</v>
      </c>
      <c r="C299" s="3" t="s">
        <v>572</v>
      </c>
      <c r="D299" s="2"/>
      <c r="E299" s="5" t="s">
        <v>554</v>
      </c>
      <c r="F299" s="18">
        <f>F300</f>
        <v>21580</v>
      </c>
      <c r="G299" s="19">
        <f>G300</f>
        <v>27567</v>
      </c>
      <c r="H299" s="19">
        <f>H300</f>
        <v>0</v>
      </c>
      <c r="I299" s="41">
        <f>I300</f>
        <v>46454</v>
      </c>
      <c r="J299" s="39">
        <f t="shared" si="8"/>
        <v>-46454</v>
      </c>
      <c r="K299" s="41">
        <f>K300</f>
        <v>0</v>
      </c>
      <c r="L299" s="41">
        <f>L300</f>
        <v>0</v>
      </c>
    </row>
    <row r="300" spans="1:12" ht="17.100000000000001" customHeight="1" x14ac:dyDescent="0.2">
      <c r="A300" s="3" t="s">
        <v>570</v>
      </c>
      <c r="B300" s="3" t="s">
        <v>528</v>
      </c>
      <c r="C300" s="3" t="s">
        <v>572</v>
      </c>
      <c r="D300" s="3" t="s">
        <v>482</v>
      </c>
      <c r="E300" s="5" t="s">
        <v>483</v>
      </c>
      <c r="F300" s="18">
        <v>21580</v>
      </c>
      <c r="G300" s="17">
        <v>27567</v>
      </c>
      <c r="H300" s="17"/>
      <c r="I300" s="40">
        <v>46454</v>
      </c>
      <c r="J300" s="39">
        <f t="shared" si="8"/>
        <v>-46454</v>
      </c>
      <c r="K300" s="40">
        <v>0</v>
      </c>
      <c r="L300" s="40">
        <v>0</v>
      </c>
    </row>
    <row r="301" spans="1:12" ht="30" customHeight="1" x14ac:dyDescent="0.2">
      <c r="A301" s="3" t="s">
        <v>570</v>
      </c>
      <c r="B301" s="3" t="s">
        <v>528</v>
      </c>
      <c r="C301" s="3" t="s">
        <v>532</v>
      </c>
      <c r="D301" s="2"/>
      <c r="E301" s="5" t="s">
        <v>217</v>
      </c>
      <c r="F301" s="18">
        <f>F302</f>
        <v>44000</v>
      </c>
      <c r="G301" s="19">
        <f>G302</f>
        <v>0</v>
      </c>
      <c r="H301" s="19">
        <f>H302</f>
        <v>0</v>
      </c>
      <c r="I301" s="41">
        <f>I302</f>
        <v>30000</v>
      </c>
      <c r="J301" s="39">
        <f t="shared" si="8"/>
        <v>0</v>
      </c>
      <c r="K301" s="41">
        <f>K302</f>
        <v>30000</v>
      </c>
      <c r="L301" s="41">
        <f>L302</f>
        <v>30000</v>
      </c>
    </row>
    <row r="302" spans="1:12" ht="17.100000000000001" customHeight="1" x14ac:dyDescent="0.2">
      <c r="A302" s="3" t="s">
        <v>570</v>
      </c>
      <c r="B302" s="3" t="s">
        <v>528</v>
      </c>
      <c r="C302" s="3" t="s">
        <v>532</v>
      </c>
      <c r="D302" s="3" t="s">
        <v>482</v>
      </c>
      <c r="E302" s="5" t="s">
        <v>483</v>
      </c>
      <c r="F302" s="18">
        <v>44000</v>
      </c>
      <c r="G302" s="17"/>
      <c r="H302" s="17"/>
      <c r="I302" s="40">
        <v>30000</v>
      </c>
      <c r="J302" s="39">
        <f t="shared" si="8"/>
        <v>0</v>
      </c>
      <c r="K302" s="40">
        <v>30000</v>
      </c>
      <c r="L302" s="40">
        <v>30000</v>
      </c>
    </row>
    <row r="303" spans="1:12" ht="24" customHeight="1" x14ac:dyDescent="0.2">
      <c r="A303" s="29" t="s">
        <v>570</v>
      </c>
      <c r="B303" s="30" t="s">
        <v>528</v>
      </c>
      <c r="C303" s="30" t="s">
        <v>106</v>
      </c>
      <c r="D303" s="2"/>
      <c r="E303" s="31" t="s">
        <v>99</v>
      </c>
      <c r="F303" s="18"/>
      <c r="G303" s="17"/>
      <c r="H303" s="17"/>
      <c r="I303" s="40">
        <f>I304</f>
        <v>2270</v>
      </c>
      <c r="J303" s="39">
        <f t="shared" si="8"/>
        <v>0</v>
      </c>
      <c r="K303" s="40">
        <f>K304</f>
        <v>2270</v>
      </c>
      <c r="L303" s="40">
        <f>L304</f>
        <v>2270</v>
      </c>
    </row>
    <row r="304" spans="1:12" ht="17.100000000000001" customHeight="1" x14ac:dyDescent="0.2">
      <c r="A304" s="29" t="s">
        <v>570</v>
      </c>
      <c r="B304" s="30" t="s">
        <v>528</v>
      </c>
      <c r="C304" s="30" t="s">
        <v>106</v>
      </c>
      <c r="D304" s="3" t="s">
        <v>464</v>
      </c>
      <c r="E304" s="31" t="s">
        <v>465</v>
      </c>
      <c r="F304" s="18"/>
      <c r="G304" s="17"/>
      <c r="H304" s="17"/>
      <c r="I304" s="40">
        <v>2270</v>
      </c>
      <c r="J304" s="39">
        <f t="shared" si="8"/>
        <v>0</v>
      </c>
      <c r="K304" s="40">
        <v>2270</v>
      </c>
      <c r="L304" s="40">
        <v>2270</v>
      </c>
    </row>
    <row r="305" spans="1:12" ht="23.25" customHeight="1" x14ac:dyDescent="0.2">
      <c r="A305" s="29" t="s">
        <v>570</v>
      </c>
      <c r="B305" s="30" t="s">
        <v>528</v>
      </c>
      <c r="C305" s="30" t="s">
        <v>107</v>
      </c>
      <c r="D305" s="2"/>
      <c r="E305" s="31" t="s">
        <v>103</v>
      </c>
      <c r="F305" s="18"/>
      <c r="G305" s="17"/>
      <c r="H305" s="17"/>
      <c r="I305" s="40">
        <f>I306</f>
        <v>1400</v>
      </c>
      <c r="J305" s="39">
        <f t="shared" si="8"/>
        <v>-1400</v>
      </c>
      <c r="K305" s="40">
        <f>K306</f>
        <v>0</v>
      </c>
      <c r="L305" s="40">
        <f>L306</f>
        <v>0</v>
      </c>
    </row>
    <row r="306" spans="1:12" ht="17.100000000000001" customHeight="1" x14ac:dyDescent="0.2">
      <c r="A306" s="29" t="s">
        <v>570</v>
      </c>
      <c r="B306" s="30" t="s">
        <v>528</v>
      </c>
      <c r="C306" s="30" t="s">
        <v>107</v>
      </c>
      <c r="D306" s="3" t="s">
        <v>482</v>
      </c>
      <c r="E306" s="31" t="s">
        <v>483</v>
      </c>
      <c r="F306" s="18"/>
      <c r="G306" s="17"/>
      <c r="H306" s="17"/>
      <c r="I306" s="40">
        <v>1400</v>
      </c>
      <c r="J306" s="39">
        <f t="shared" si="8"/>
        <v>-1400</v>
      </c>
      <c r="K306" s="40">
        <v>0</v>
      </c>
      <c r="L306" s="40">
        <v>0</v>
      </c>
    </row>
    <row r="307" spans="1:12" ht="26.25" customHeight="1" x14ac:dyDescent="0.2">
      <c r="A307" s="29" t="s">
        <v>570</v>
      </c>
      <c r="B307" s="30" t="s">
        <v>528</v>
      </c>
      <c r="C307" s="30" t="s">
        <v>108</v>
      </c>
      <c r="D307" s="2"/>
      <c r="E307" s="31" t="s">
        <v>109</v>
      </c>
      <c r="F307" s="18"/>
      <c r="G307" s="17"/>
      <c r="H307" s="17"/>
      <c r="I307" s="40">
        <f>I308</f>
        <v>8500</v>
      </c>
      <c r="J307" s="39">
        <f t="shared" si="8"/>
        <v>-8500</v>
      </c>
      <c r="K307" s="40">
        <f>K308</f>
        <v>0</v>
      </c>
      <c r="L307" s="40">
        <f>L308</f>
        <v>0</v>
      </c>
    </row>
    <row r="308" spans="1:12" ht="17.100000000000001" customHeight="1" x14ac:dyDescent="0.2">
      <c r="A308" s="29" t="s">
        <v>570</v>
      </c>
      <c r="B308" s="30" t="s">
        <v>528</v>
      </c>
      <c r="C308" s="30" t="s">
        <v>108</v>
      </c>
      <c r="D308" s="3" t="s">
        <v>482</v>
      </c>
      <c r="E308" s="31" t="s">
        <v>483</v>
      </c>
      <c r="F308" s="18"/>
      <c r="G308" s="17"/>
      <c r="H308" s="17"/>
      <c r="I308" s="40">
        <v>8500</v>
      </c>
      <c r="J308" s="39">
        <f t="shared" si="8"/>
        <v>-8500</v>
      </c>
      <c r="K308" s="40">
        <v>0</v>
      </c>
      <c r="L308" s="40">
        <v>0</v>
      </c>
    </row>
    <row r="309" spans="1:12" ht="22.5" customHeight="1" x14ac:dyDescent="0.2">
      <c r="A309" s="3" t="s">
        <v>570</v>
      </c>
      <c r="B309" s="3" t="s">
        <v>573</v>
      </c>
      <c r="C309" s="2"/>
      <c r="D309" s="2"/>
      <c r="E309" s="5" t="s">
        <v>574</v>
      </c>
      <c r="F309" s="15">
        <f>F310+F312+F316+F318+F328+F334+F342+F346+F348</f>
        <v>9681900</v>
      </c>
      <c r="G309" s="13">
        <f>G310+G312+G316+G318+G328+G334+G342+G346+G348</f>
        <v>3711440</v>
      </c>
      <c r="H309" s="13">
        <f>H310+H312+H316+H318+H328+H334+H342+H346+H348</f>
        <v>12959714</v>
      </c>
      <c r="I309" s="39">
        <f>I310+I312+I316+I318+I328+I334+I342+I346+I348+I320+I324+I330+I340+I344+I354+I314+I322+I332+I338+I326+I336+I356+I350+I352</f>
        <v>14259866</v>
      </c>
      <c r="J309" s="39">
        <f t="shared" si="8"/>
        <v>737622</v>
      </c>
      <c r="K309" s="39">
        <f>K310+K312+K316+K318+K328+K334+K342+K346+K348+K320+K324+K330+K340+K344+K354+K314+K322+K332+K338+K326+K336+K356+K350+K352</f>
        <v>14997488</v>
      </c>
      <c r="L309" s="39">
        <f>L310+L312+L316+L318+L328+L334+L342+L346+L348+L320+L324+L330+L340+L344+L354+L314+L322+L332+L338+L326+L336+L356+L350+L352</f>
        <v>15440794</v>
      </c>
    </row>
    <row r="310" spans="1:12" ht="17.100000000000001" customHeight="1" x14ac:dyDescent="0.2">
      <c r="A310" s="3" t="s">
        <v>570</v>
      </c>
      <c r="B310" s="3" t="s">
        <v>573</v>
      </c>
      <c r="C310" s="3" t="s">
        <v>575</v>
      </c>
      <c r="D310" s="2"/>
      <c r="E310" s="5" t="s">
        <v>531</v>
      </c>
      <c r="F310" s="21">
        <f>F311</f>
        <v>3001471</v>
      </c>
      <c r="G310" s="13">
        <f>G311</f>
        <v>835000</v>
      </c>
      <c r="H310" s="13">
        <f>H311</f>
        <v>4450399</v>
      </c>
      <c r="I310" s="39">
        <f>I311</f>
        <v>4681812</v>
      </c>
      <c r="J310" s="39">
        <f t="shared" si="8"/>
        <v>-371124</v>
      </c>
      <c r="K310" s="39">
        <f>K311</f>
        <v>4310688</v>
      </c>
      <c r="L310" s="39">
        <f>L311</f>
        <v>4472241</v>
      </c>
    </row>
    <row r="311" spans="1:12" ht="17.100000000000001" customHeight="1" x14ac:dyDescent="0.2">
      <c r="A311" s="3" t="s">
        <v>570</v>
      </c>
      <c r="B311" s="3" t="s">
        <v>573</v>
      </c>
      <c r="C311" s="3" t="s">
        <v>575</v>
      </c>
      <c r="D311" s="3" t="s">
        <v>482</v>
      </c>
      <c r="E311" s="5" t="s">
        <v>483</v>
      </c>
      <c r="F311" s="18">
        <v>3001471</v>
      </c>
      <c r="G311" s="17">
        <v>835000</v>
      </c>
      <c r="H311" s="17">
        <v>4450399</v>
      </c>
      <c r="I311" s="40">
        <v>4681812</v>
      </c>
      <c r="J311" s="39">
        <f t="shared" si="8"/>
        <v>-371124</v>
      </c>
      <c r="K311" s="40">
        <v>4310688</v>
      </c>
      <c r="L311" s="40">
        <v>4472241</v>
      </c>
    </row>
    <row r="312" spans="1:12" ht="27" customHeight="1" x14ac:dyDescent="0.2">
      <c r="A312" s="3" t="s">
        <v>570</v>
      </c>
      <c r="B312" s="3" t="s">
        <v>573</v>
      </c>
      <c r="C312" s="3" t="s">
        <v>576</v>
      </c>
      <c r="D312" s="2"/>
      <c r="E312" s="5" t="s">
        <v>230</v>
      </c>
      <c r="F312" s="18">
        <f>F313</f>
        <v>77000</v>
      </c>
      <c r="G312" s="19">
        <f>G313</f>
        <v>28000</v>
      </c>
      <c r="H312" s="19">
        <f>H313</f>
        <v>0</v>
      </c>
      <c r="I312" s="41">
        <f>I313</f>
        <v>35000</v>
      </c>
      <c r="J312" s="39">
        <f t="shared" si="8"/>
        <v>-35000</v>
      </c>
      <c r="K312" s="41">
        <f>K313</f>
        <v>0</v>
      </c>
      <c r="L312" s="41">
        <f>L313</f>
        <v>0</v>
      </c>
    </row>
    <row r="313" spans="1:12" ht="17.100000000000001" customHeight="1" x14ac:dyDescent="0.2">
      <c r="A313" s="3" t="s">
        <v>570</v>
      </c>
      <c r="B313" s="3" t="s">
        <v>573</v>
      </c>
      <c r="C313" s="3" t="s">
        <v>576</v>
      </c>
      <c r="D313" s="3" t="s">
        <v>482</v>
      </c>
      <c r="E313" s="5" t="s">
        <v>483</v>
      </c>
      <c r="F313" s="18">
        <v>77000</v>
      </c>
      <c r="G313" s="17">
        <v>28000</v>
      </c>
      <c r="H313" s="17"/>
      <c r="I313" s="40">
        <v>35000</v>
      </c>
      <c r="J313" s="39">
        <f t="shared" si="8"/>
        <v>-35000</v>
      </c>
      <c r="K313" s="40">
        <v>0</v>
      </c>
      <c r="L313" s="40">
        <v>0</v>
      </c>
    </row>
    <row r="314" spans="1:12" ht="24.75" hidden="1" customHeight="1" x14ac:dyDescent="0.2">
      <c r="A314" s="3" t="s">
        <v>570</v>
      </c>
      <c r="B314" s="3" t="s">
        <v>573</v>
      </c>
      <c r="C314" s="3" t="s">
        <v>159</v>
      </c>
      <c r="D314" s="3"/>
      <c r="E314" s="5" t="s">
        <v>224</v>
      </c>
      <c r="F314" s="18"/>
      <c r="G314" s="17"/>
      <c r="H314" s="17"/>
      <c r="I314" s="40">
        <f>I315</f>
        <v>0</v>
      </c>
      <c r="J314" s="39">
        <f t="shared" si="8"/>
        <v>0</v>
      </c>
      <c r="K314" s="40">
        <f>K315</f>
        <v>0</v>
      </c>
      <c r="L314" s="40">
        <f>L315</f>
        <v>0</v>
      </c>
    </row>
    <row r="315" spans="1:12" ht="17.100000000000001" hidden="1" customHeight="1" x14ac:dyDescent="0.2">
      <c r="A315" s="3" t="s">
        <v>570</v>
      </c>
      <c r="B315" s="3" t="s">
        <v>573</v>
      </c>
      <c r="C315" s="3" t="s">
        <v>159</v>
      </c>
      <c r="D315" s="3" t="s">
        <v>482</v>
      </c>
      <c r="E315" s="5" t="s">
        <v>483</v>
      </c>
      <c r="F315" s="18"/>
      <c r="G315" s="17"/>
      <c r="H315" s="17"/>
      <c r="I315" s="40"/>
      <c r="J315" s="39">
        <f t="shared" si="8"/>
        <v>0</v>
      </c>
      <c r="K315" s="40"/>
      <c r="L315" s="40"/>
    </row>
    <row r="316" spans="1:12" ht="17.25" customHeight="1" x14ac:dyDescent="0.2">
      <c r="A316" s="3" t="s">
        <v>570</v>
      </c>
      <c r="B316" s="3" t="s">
        <v>573</v>
      </c>
      <c r="C316" s="3" t="s">
        <v>577</v>
      </c>
      <c r="D316" s="2"/>
      <c r="E316" s="5" t="s">
        <v>89</v>
      </c>
      <c r="F316" s="18">
        <f>F317</f>
        <v>727929</v>
      </c>
      <c r="G316" s="19">
        <f>G317</f>
        <v>1157806</v>
      </c>
      <c r="H316" s="19">
        <f>H317</f>
        <v>0</v>
      </c>
      <c r="I316" s="41">
        <f>I317</f>
        <v>1607702</v>
      </c>
      <c r="J316" s="39">
        <f t="shared" si="8"/>
        <v>-1607702</v>
      </c>
      <c r="K316" s="41">
        <f>K317</f>
        <v>0</v>
      </c>
      <c r="L316" s="41">
        <f>L317</f>
        <v>0</v>
      </c>
    </row>
    <row r="317" spans="1:12" ht="17.100000000000001" customHeight="1" x14ac:dyDescent="0.2">
      <c r="A317" s="3" t="s">
        <v>570</v>
      </c>
      <c r="B317" s="3" t="s">
        <v>573</v>
      </c>
      <c r="C317" s="3" t="s">
        <v>577</v>
      </c>
      <c r="D317" s="3" t="s">
        <v>482</v>
      </c>
      <c r="E317" s="5" t="s">
        <v>483</v>
      </c>
      <c r="F317" s="18">
        <v>727929</v>
      </c>
      <c r="G317" s="17">
        <v>1157806</v>
      </c>
      <c r="H317" s="17"/>
      <c r="I317" s="40">
        <v>1607702</v>
      </c>
      <c r="J317" s="39">
        <f t="shared" si="8"/>
        <v>-1607702</v>
      </c>
      <c r="K317" s="40">
        <v>0</v>
      </c>
      <c r="L317" s="40">
        <v>0</v>
      </c>
    </row>
    <row r="318" spans="1:12" ht="25.5" customHeight="1" x14ac:dyDescent="0.2">
      <c r="A318" s="3" t="s">
        <v>570</v>
      </c>
      <c r="B318" s="3" t="s">
        <v>573</v>
      </c>
      <c r="C318" s="3" t="s">
        <v>578</v>
      </c>
      <c r="D318" s="2"/>
      <c r="E318" s="5" t="s">
        <v>217</v>
      </c>
      <c r="F318" s="18">
        <f>F319</f>
        <v>70000</v>
      </c>
      <c r="G318" s="19">
        <f>G319</f>
        <v>6000</v>
      </c>
      <c r="H318" s="19">
        <f>H319</f>
        <v>0</v>
      </c>
      <c r="I318" s="41">
        <f>I319</f>
        <v>90400</v>
      </c>
      <c r="J318" s="39">
        <f t="shared" si="8"/>
        <v>0</v>
      </c>
      <c r="K318" s="41">
        <f>K319</f>
        <v>90400</v>
      </c>
      <c r="L318" s="41">
        <f>L319</f>
        <v>30000</v>
      </c>
    </row>
    <row r="319" spans="1:12" ht="17.100000000000001" customHeight="1" x14ac:dyDescent="0.2">
      <c r="A319" s="3" t="s">
        <v>570</v>
      </c>
      <c r="B319" s="3" t="s">
        <v>573</v>
      </c>
      <c r="C319" s="3" t="s">
        <v>578</v>
      </c>
      <c r="D319" s="3" t="s">
        <v>482</v>
      </c>
      <c r="E319" s="5" t="s">
        <v>483</v>
      </c>
      <c r="F319" s="18">
        <v>70000</v>
      </c>
      <c r="G319" s="17">
        <v>6000</v>
      </c>
      <c r="H319" s="17"/>
      <c r="I319" s="40">
        <v>90400</v>
      </c>
      <c r="J319" s="39">
        <f t="shared" si="8"/>
        <v>0</v>
      </c>
      <c r="K319" s="40">
        <v>90400</v>
      </c>
      <c r="L319" s="40">
        <v>30000</v>
      </c>
    </row>
    <row r="320" spans="1:12" ht="26.25" customHeight="1" x14ac:dyDescent="0.2">
      <c r="A320" s="29" t="s">
        <v>570</v>
      </c>
      <c r="B320" s="30" t="s">
        <v>573</v>
      </c>
      <c r="C320" s="30" t="s">
        <v>110</v>
      </c>
      <c r="D320" s="2"/>
      <c r="E320" s="5" t="s">
        <v>99</v>
      </c>
      <c r="F320" s="18"/>
      <c r="G320" s="17"/>
      <c r="H320" s="17"/>
      <c r="I320" s="40">
        <f>I321</f>
        <v>57700</v>
      </c>
      <c r="J320" s="39">
        <f t="shared" si="8"/>
        <v>0</v>
      </c>
      <c r="K320" s="40">
        <f>K321</f>
        <v>57700</v>
      </c>
      <c r="L320" s="40">
        <f>L321</f>
        <v>57700</v>
      </c>
    </row>
    <row r="321" spans="1:12" ht="17.100000000000001" customHeight="1" x14ac:dyDescent="0.2">
      <c r="A321" s="29" t="s">
        <v>570</v>
      </c>
      <c r="B321" s="30" t="s">
        <v>573</v>
      </c>
      <c r="C321" s="30" t="s">
        <v>110</v>
      </c>
      <c r="D321" s="3" t="s">
        <v>482</v>
      </c>
      <c r="E321" s="31" t="s">
        <v>483</v>
      </c>
      <c r="F321" s="18"/>
      <c r="G321" s="17"/>
      <c r="H321" s="17"/>
      <c r="I321" s="40">
        <v>57700</v>
      </c>
      <c r="J321" s="39">
        <f t="shared" si="8"/>
        <v>0</v>
      </c>
      <c r="K321" s="40">
        <v>57700</v>
      </c>
      <c r="L321" s="40">
        <v>57700</v>
      </c>
    </row>
    <row r="322" spans="1:12" ht="27" hidden="1" customHeight="1" x14ac:dyDescent="0.2">
      <c r="A322" s="29" t="s">
        <v>570</v>
      </c>
      <c r="B322" s="30" t="s">
        <v>573</v>
      </c>
      <c r="C322" s="30" t="s">
        <v>160</v>
      </c>
      <c r="D322" s="3"/>
      <c r="E322" s="5" t="s">
        <v>231</v>
      </c>
      <c r="F322" s="18"/>
      <c r="G322" s="17"/>
      <c r="H322" s="17"/>
      <c r="I322" s="40">
        <f>I323</f>
        <v>0</v>
      </c>
      <c r="J322" s="39">
        <f t="shared" si="8"/>
        <v>0</v>
      </c>
      <c r="K322" s="40">
        <f>K323</f>
        <v>0</v>
      </c>
      <c r="L322" s="40">
        <f>L323</f>
        <v>0</v>
      </c>
    </row>
    <row r="323" spans="1:12" ht="17.100000000000001" hidden="1" customHeight="1" x14ac:dyDescent="0.2">
      <c r="A323" s="29" t="s">
        <v>570</v>
      </c>
      <c r="B323" s="30" t="s">
        <v>573</v>
      </c>
      <c r="C323" s="30" t="s">
        <v>160</v>
      </c>
      <c r="D323" s="3" t="s">
        <v>482</v>
      </c>
      <c r="E323" s="5" t="s">
        <v>483</v>
      </c>
      <c r="F323" s="18"/>
      <c r="G323" s="17"/>
      <c r="H323" s="17"/>
      <c r="I323" s="40"/>
      <c r="J323" s="39">
        <f t="shared" si="8"/>
        <v>0</v>
      </c>
      <c r="K323" s="40"/>
      <c r="L323" s="40"/>
    </row>
    <row r="324" spans="1:12" ht="25.5" customHeight="1" x14ac:dyDescent="0.2">
      <c r="A324" s="29" t="s">
        <v>570</v>
      </c>
      <c r="B324" s="30" t="s">
        <v>573</v>
      </c>
      <c r="C324" s="30" t="s">
        <v>111</v>
      </c>
      <c r="D324" s="2"/>
      <c r="E324" s="5" t="s">
        <v>101</v>
      </c>
      <c r="F324" s="18"/>
      <c r="G324" s="17"/>
      <c r="H324" s="17"/>
      <c r="I324" s="40">
        <f>I325</f>
        <v>1400</v>
      </c>
      <c r="J324" s="39">
        <f t="shared" si="8"/>
        <v>-1400</v>
      </c>
      <c r="K324" s="40">
        <f>K325</f>
        <v>0</v>
      </c>
      <c r="L324" s="40">
        <f>L325</f>
        <v>0</v>
      </c>
    </row>
    <row r="325" spans="1:12" ht="17.100000000000001" customHeight="1" x14ac:dyDescent="0.2">
      <c r="A325" s="29" t="s">
        <v>570</v>
      </c>
      <c r="B325" s="30" t="s">
        <v>573</v>
      </c>
      <c r="C325" s="30" t="s">
        <v>111</v>
      </c>
      <c r="D325" s="3" t="s">
        <v>482</v>
      </c>
      <c r="E325" s="31" t="s">
        <v>483</v>
      </c>
      <c r="F325" s="18"/>
      <c r="G325" s="17"/>
      <c r="H325" s="17"/>
      <c r="I325" s="40">
        <v>1400</v>
      </c>
      <c r="J325" s="39">
        <f t="shared" si="8"/>
        <v>-1400</v>
      </c>
      <c r="K325" s="40">
        <v>0</v>
      </c>
      <c r="L325" s="40">
        <v>0</v>
      </c>
    </row>
    <row r="326" spans="1:12" ht="31.5" x14ac:dyDescent="0.2">
      <c r="A326" s="29" t="s">
        <v>570</v>
      </c>
      <c r="B326" s="30" t="s">
        <v>573</v>
      </c>
      <c r="C326" s="30" t="s">
        <v>136</v>
      </c>
      <c r="D326" s="2"/>
      <c r="E326" s="5" t="s">
        <v>232</v>
      </c>
      <c r="F326" s="18"/>
      <c r="G326" s="17"/>
      <c r="H326" s="17"/>
      <c r="I326" s="40">
        <f>I327</f>
        <v>0</v>
      </c>
      <c r="J326" s="39">
        <f t="shared" si="8"/>
        <v>430000</v>
      </c>
      <c r="K326" s="40">
        <f>K327</f>
        <v>430000</v>
      </c>
      <c r="L326" s="40">
        <f>L327</f>
        <v>430000</v>
      </c>
    </row>
    <row r="327" spans="1:12" ht="17.100000000000001" customHeight="1" x14ac:dyDescent="0.2">
      <c r="A327" s="29" t="s">
        <v>570</v>
      </c>
      <c r="B327" s="30" t="s">
        <v>573</v>
      </c>
      <c r="C327" s="30" t="s">
        <v>136</v>
      </c>
      <c r="D327" s="3" t="s">
        <v>624</v>
      </c>
      <c r="E327" s="31" t="s">
        <v>625</v>
      </c>
      <c r="F327" s="18"/>
      <c r="G327" s="17"/>
      <c r="H327" s="17"/>
      <c r="I327" s="40"/>
      <c r="J327" s="39">
        <f t="shared" si="8"/>
        <v>430000</v>
      </c>
      <c r="K327" s="40">
        <v>430000</v>
      </c>
      <c r="L327" s="40">
        <v>430000</v>
      </c>
    </row>
    <row r="328" spans="1:12" ht="18" customHeight="1" x14ac:dyDescent="0.2">
      <c r="A328" s="3" t="s">
        <v>570</v>
      </c>
      <c r="B328" s="3" t="s">
        <v>573</v>
      </c>
      <c r="C328" s="3" t="s">
        <v>579</v>
      </c>
      <c r="D328" s="2"/>
      <c r="E328" s="5" t="s">
        <v>531</v>
      </c>
      <c r="F328" s="18">
        <f>F329</f>
        <v>3899136</v>
      </c>
      <c r="G328" s="19">
        <f>G329</f>
        <v>1206000</v>
      </c>
      <c r="H328" s="19">
        <f>H329</f>
        <v>5241833</v>
      </c>
      <c r="I328" s="41">
        <f>I329</f>
        <v>4696835</v>
      </c>
      <c r="J328" s="39">
        <f t="shared" si="8"/>
        <v>831299</v>
      </c>
      <c r="K328" s="41">
        <f>K329</f>
        <v>5528134</v>
      </c>
      <c r="L328" s="41">
        <f>L329</f>
        <v>5780811</v>
      </c>
    </row>
    <row r="329" spans="1:12" ht="17.100000000000001" customHeight="1" x14ac:dyDescent="0.2">
      <c r="A329" s="3" t="s">
        <v>570</v>
      </c>
      <c r="B329" s="3" t="s">
        <v>573</v>
      </c>
      <c r="C329" s="3" t="s">
        <v>579</v>
      </c>
      <c r="D329" s="3" t="s">
        <v>482</v>
      </c>
      <c r="E329" s="5" t="s">
        <v>483</v>
      </c>
      <c r="F329" s="18">
        <v>3899136</v>
      </c>
      <c r="G329" s="17">
        <v>1206000</v>
      </c>
      <c r="H329" s="17">
        <v>5241833</v>
      </c>
      <c r="I329" s="40">
        <v>4696835</v>
      </c>
      <c r="J329" s="39">
        <f t="shared" ref="J329:J392" si="9">K329-I329</f>
        <v>831299</v>
      </c>
      <c r="K329" s="40">
        <v>5528134</v>
      </c>
      <c r="L329" s="40">
        <v>5780811</v>
      </c>
    </row>
    <row r="330" spans="1:12" ht="25.5" customHeight="1" x14ac:dyDescent="0.2">
      <c r="A330" s="29" t="s">
        <v>570</v>
      </c>
      <c r="B330" s="30" t="s">
        <v>573</v>
      </c>
      <c r="C330" s="30" t="s">
        <v>112</v>
      </c>
      <c r="D330" s="2"/>
      <c r="E330" s="5" t="s">
        <v>233</v>
      </c>
      <c r="F330" s="18"/>
      <c r="G330" s="17"/>
      <c r="H330" s="17"/>
      <c r="I330" s="40">
        <f>I331</f>
        <v>108670</v>
      </c>
      <c r="J330" s="39">
        <f t="shared" si="9"/>
        <v>108000</v>
      </c>
      <c r="K330" s="40">
        <f>K331</f>
        <v>216670</v>
      </c>
      <c r="L330" s="40">
        <f>L331</f>
        <v>216670</v>
      </c>
    </row>
    <row r="331" spans="1:12" ht="17.100000000000001" customHeight="1" x14ac:dyDescent="0.2">
      <c r="A331" s="29" t="s">
        <v>570</v>
      </c>
      <c r="B331" s="30" t="s">
        <v>573</v>
      </c>
      <c r="C331" s="30" t="s">
        <v>112</v>
      </c>
      <c r="D331" s="3" t="s">
        <v>482</v>
      </c>
      <c r="E331" s="31" t="s">
        <v>483</v>
      </c>
      <c r="F331" s="18"/>
      <c r="G331" s="17"/>
      <c r="H331" s="17"/>
      <c r="I331" s="40">
        <v>108670</v>
      </c>
      <c r="J331" s="39">
        <f t="shared" si="9"/>
        <v>108000</v>
      </c>
      <c r="K331" s="40">
        <v>216670</v>
      </c>
      <c r="L331" s="40">
        <v>216670</v>
      </c>
    </row>
    <row r="332" spans="1:12" ht="24" hidden="1" customHeight="1" x14ac:dyDescent="0.2">
      <c r="A332" s="29" t="s">
        <v>570</v>
      </c>
      <c r="B332" s="30" t="s">
        <v>573</v>
      </c>
      <c r="C332" s="30" t="s">
        <v>161</v>
      </c>
      <c r="D332" s="3"/>
      <c r="E332" s="5" t="s">
        <v>154</v>
      </c>
      <c r="F332" s="18"/>
      <c r="G332" s="17"/>
      <c r="H332" s="17"/>
      <c r="I332" s="40">
        <f>I333</f>
        <v>0</v>
      </c>
      <c r="J332" s="39">
        <f t="shared" si="9"/>
        <v>0</v>
      </c>
      <c r="K332" s="40">
        <f>K333</f>
        <v>0</v>
      </c>
      <c r="L332" s="40">
        <f>L333</f>
        <v>0</v>
      </c>
    </row>
    <row r="333" spans="1:12" ht="17.100000000000001" hidden="1" customHeight="1" x14ac:dyDescent="0.2">
      <c r="A333" s="29" t="s">
        <v>570</v>
      </c>
      <c r="B333" s="30" t="s">
        <v>573</v>
      </c>
      <c r="C333" s="30" t="s">
        <v>161</v>
      </c>
      <c r="D333" s="3" t="s">
        <v>482</v>
      </c>
      <c r="E333" s="31" t="s">
        <v>483</v>
      </c>
      <c r="F333" s="18"/>
      <c r="G333" s="17"/>
      <c r="H333" s="17"/>
      <c r="I333" s="40"/>
      <c r="J333" s="39">
        <f t="shared" si="9"/>
        <v>0</v>
      </c>
      <c r="K333" s="40"/>
      <c r="L333" s="40"/>
    </row>
    <row r="334" spans="1:12" ht="17.25" customHeight="1" x14ac:dyDescent="0.2">
      <c r="A334" s="3" t="s">
        <v>570</v>
      </c>
      <c r="B334" s="3" t="s">
        <v>573</v>
      </c>
      <c r="C334" s="3" t="s">
        <v>580</v>
      </c>
      <c r="D334" s="2"/>
      <c r="E334" s="5" t="s">
        <v>89</v>
      </c>
      <c r="F334" s="18">
        <f>F335</f>
        <v>85164</v>
      </c>
      <c r="G334" s="19">
        <f>G335</f>
        <v>137834</v>
      </c>
      <c r="H334" s="19">
        <f>H335</f>
        <v>0</v>
      </c>
      <c r="I334" s="41">
        <f>I335</f>
        <v>118078</v>
      </c>
      <c r="J334" s="39">
        <f t="shared" si="9"/>
        <v>-118078</v>
      </c>
      <c r="K334" s="41">
        <f>K335</f>
        <v>0</v>
      </c>
      <c r="L334" s="41">
        <f>L335</f>
        <v>0</v>
      </c>
    </row>
    <row r="335" spans="1:12" ht="17.100000000000001" customHeight="1" x14ac:dyDescent="0.2">
      <c r="A335" s="3" t="s">
        <v>570</v>
      </c>
      <c r="B335" s="3" t="s">
        <v>573</v>
      </c>
      <c r="C335" s="3" t="s">
        <v>580</v>
      </c>
      <c r="D335" s="3" t="s">
        <v>482</v>
      </c>
      <c r="E335" s="5" t="s">
        <v>483</v>
      </c>
      <c r="F335" s="18">
        <v>85164</v>
      </c>
      <c r="G335" s="17">
        <v>137834</v>
      </c>
      <c r="H335" s="17"/>
      <c r="I335" s="40">
        <v>118078</v>
      </c>
      <c r="J335" s="39">
        <f t="shared" si="9"/>
        <v>-118078</v>
      </c>
      <c r="K335" s="40">
        <v>0</v>
      </c>
      <c r="L335" s="40">
        <v>0</v>
      </c>
    </row>
    <row r="336" spans="1:12" ht="23.25" customHeight="1" x14ac:dyDescent="0.2">
      <c r="A336" s="3" t="s">
        <v>570</v>
      </c>
      <c r="B336" s="3" t="s">
        <v>573</v>
      </c>
      <c r="C336" s="3" t="s">
        <v>108</v>
      </c>
      <c r="D336" s="2"/>
      <c r="E336" s="5" t="s">
        <v>99</v>
      </c>
      <c r="F336" s="18"/>
      <c r="G336" s="17"/>
      <c r="H336" s="17"/>
      <c r="I336" s="40">
        <f>I337</f>
        <v>0</v>
      </c>
      <c r="J336" s="39">
        <f t="shared" si="9"/>
        <v>8500</v>
      </c>
      <c r="K336" s="40">
        <f>K337</f>
        <v>8500</v>
      </c>
      <c r="L336" s="40">
        <f>L337</f>
        <v>8500</v>
      </c>
    </row>
    <row r="337" spans="1:12" ht="17.100000000000001" customHeight="1" x14ac:dyDescent="0.2">
      <c r="A337" s="3" t="s">
        <v>570</v>
      </c>
      <c r="B337" s="3" t="s">
        <v>573</v>
      </c>
      <c r="C337" s="3" t="s">
        <v>108</v>
      </c>
      <c r="D337" s="3" t="s">
        <v>482</v>
      </c>
      <c r="E337" s="5" t="s">
        <v>483</v>
      </c>
      <c r="F337" s="18"/>
      <c r="G337" s="17"/>
      <c r="H337" s="17"/>
      <c r="I337" s="40">
        <v>0</v>
      </c>
      <c r="J337" s="39">
        <f t="shared" si="9"/>
        <v>8500</v>
      </c>
      <c r="K337" s="40">
        <v>8500</v>
      </c>
      <c r="L337" s="40">
        <v>8500</v>
      </c>
    </row>
    <row r="338" spans="1:12" ht="26.25" hidden="1" customHeight="1" x14ac:dyDescent="0.2">
      <c r="A338" s="3" t="s">
        <v>570</v>
      </c>
      <c r="B338" s="3" t="s">
        <v>573</v>
      </c>
      <c r="C338" s="30" t="s">
        <v>162</v>
      </c>
      <c r="D338" s="3"/>
      <c r="E338" s="5" t="s">
        <v>223</v>
      </c>
      <c r="F338" s="18"/>
      <c r="G338" s="17"/>
      <c r="H338" s="17"/>
      <c r="I338" s="40">
        <f>I339</f>
        <v>0</v>
      </c>
      <c r="J338" s="39">
        <f t="shared" si="9"/>
        <v>0</v>
      </c>
      <c r="K338" s="40">
        <f>K339</f>
        <v>0</v>
      </c>
      <c r="L338" s="40">
        <f>L339</f>
        <v>0</v>
      </c>
    </row>
    <row r="339" spans="1:12" ht="17.100000000000001" hidden="1" customHeight="1" x14ac:dyDescent="0.2">
      <c r="A339" s="3" t="s">
        <v>570</v>
      </c>
      <c r="B339" s="3" t="s">
        <v>573</v>
      </c>
      <c r="C339" s="30" t="s">
        <v>162</v>
      </c>
      <c r="D339" s="3" t="s">
        <v>482</v>
      </c>
      <c r="E339" s="5" t="s">
        <v>483</v>
      </c>
      <c r="F339" s="18"/>
      <c r="G339" s="17"/>
      <c r="H339" s="17"/>
      <c r="I339" s="40"/>
      <c r="J339" s="39">
        <f t="shared" si="9"/>
        <v>0</v>
      </c>
      <c r="K339" s="40"/>
      <c r="L339" s="40"/>
    </row>
    <row r="340" spans="1:12" ht="22.5" customHeight="1" x14ac:dyDescent="0.2">
      <c r="A340" s="29" t="s">
        <v>570</v>
      </c>
      <c r="B340" s="30" t="s">
        <v>573</v>
      </c>
      <c r="C340" s="30" t="s">
        <v>113</v>
      </c>
      <c r="D340" s="2"/>
      <c r="E340" s="31" t="s">
        <v>103</v>
      </c>
      <c r="F340" s="18"/>
      <c r="G340" s="17"/>
      <c r="H340" s="17"/>
      <c r="I340" s="40">
        <f>I341</f>
        <v>44230</v>
      </c>
      <c r="J340" s="39">
        <f t="shared" si="9"/>
        <v>13459</v>
      </c>
      <c r="K340" s="40">
        <f>K341</f>
        <v>57689</v>
      </c>
      <c r="L340" s="40">
        <f>L341</f>
        <v>57689</v>
      </c>
    </row>
    <row r="341" spans="1:12" ht="17.100000000000001" customHeight="1" x14ac:dyDescent="0.2">
      <c r="A341" s="29" t="s">
        <v>570</v>
      </c>
      <c r="B341" s="30" t="s">
        <v>573</v>
      </c>
      <c r="C341" s="30" t="s">
        <v>113</v>
      </c>
      <c r="D341" s="3" t="s">
        <v>482</v>
      </c>
      <c r="E341" s="31" t="s">
        <v>483</v>
      </c>
      <c r="F341" s="18"/>
      <c r="G341" s="17"/>
      <c r="H341" s="17"/>
      <c r="I341" s="40">
        <v>44230</v>
      </c>
      <c r="J341" s="39">
        <f t="shared" si="9"/>
        <v>13459</v>
      </c>
      <c r="K341" s="40">
        <v>57689</v>
      </c>
      <c r="L341" s="40">
        <v>57689</v>
      </c>
    </row>
    <row r="342" spans="1:12" ht="15.75" customHeight="1" x14ac:dyDescent="0.2">
      <c r="A342" s="3" t="s">
        <v>570</v>
      </c>
      <c r="B342" s="3" t="s">
        <v>573</v>
      </c>
      <c r="C342" s="3" t="s">
        <v>581</v>
      </c>
      <c r="D342" s="2"/>
      <c r="E342" s="5" t="s">
        <v>531</v>
      </c>
      <c r="F342" s="18">
        <f>F343</f>
        <v>1661300</v>
      </c>
      <c r="G342" s="19">
        <f>G343</f>
        <v>403000</v>
      </c>
      <c r="H342" s="19">
        <f>H343</f>
        <v>3267482</v>
      </c>
      <c r="I342" s="41">
        <f>I343</f>
        <v>2370039</v>
      </c>
      <c r="J342" s="39">
        <f t="shared" si="9"/>
        <v>460368</v>
      </c>
      <c r="K342" s="41">
        <f>K343</f>
        <v>2830407</v>
      </c>
      <c r="L342" s="41">
        <f>L343</f>
        <v>2919883</v>
      </c>
    </row>
    <row r="343" spans="1:12" ht="17.100000000000001" customHeight="1" x14ac:dyDescent="0.2">
      <c r="A343" s="3" t="s">
        <v>570</v>
      </c>
      <c r="B343" s="3" t="s">
        <v>573</v>
      </c>
      <c r="C343" s="3" t="s">
        <v>581</v>
      </c>
      <c r="D343" s="3" t="s">
        <v>482</v>
      </c>
      <c r="E343" s="5" t="s">
        <v>483</v>
      </c>
      <c r="F343" s="18">
        <v>1661300</v>
      </c>
      <c r="G343" s="17">
        <v>403000</v>
      </c>
      <c r="H343" s="17">
        <v>3267482</v>
      </c>
      <c r="I343" s="40">
        <v>2370039</v>
      </c>
      <c r="J343" s="39">
        <f t="shared" si="9"/>
        <v>460368</v>
      </c>
      <c r="K343" s="40">
        <v>2830407</v>
      </c>
      <c r="L343" s="40">
        <v>2919883</v>
      </c>
    </row>
    <row r="344" spans="1:12" ht="27" customHeight="1" x14ac:dyDescent="0.2">
      <c r="A344" s="29" t="s">
        <v>570</v>
      </c>
      <c r="B344" s="30" t="s">
        <v>573</v>
      </c>
      <c r="C344" s="30" t="s">
        <v>114</v>
      </c>
      <c r="D344" s="2"/>
      <c r="E344" s="5" t="s">
        <v>230</v>
      </c>
      <c r="F344" s="18"/>
      <c r="G344" s="17"/>
      <c r="H344" s="17"/>
      <c r="I344" s="40">
        <f>I345</f>
        <v>79000</v>
      </c>
      <c r="J344" s="39">
        <f t="shared" si="9"/>
        <v>0</v>
      </c>
      <c r="K344" s="40">
        <f>K345</f>
        <v>79000</v>
      </c>
      <c r="L344" s="40">
        <f>L345</f>
        <v>79000</v>
      </c>
    </row>
    <row r="345" spans="1:12" ht="17.100000000000001" customHeight="1" x14ac:dyDescent="0.2">
      <c r="A345" s="29" t="s">
        <v>570</v>
      </c>
      <c r="B345" s="30" t="s">
        <v>573</v>
      </c>
      <c r="C345" s="30" t="s">
        <v>114</v>
      </c>
      <c r="D345" s="3" t="s">
        <v>482</v>
      </c>
      <c r="E345" s="31" t="s">
        <v>483</v>
      </c>
      <c r="F345" s="18"/>
      <c r="G345" s="17"/>
      <c r="H345" s="17"/>
      <c r="I345" s="40">
        <v>79000</v>
      </c>
      <c r="J345" s="39">
        <f t="shared" si="9"/>
        <v>0</v>
      </c>
      <c r="K345" s="40">
        <v>79000</v>
      </c>
      <c r="L345" s="40">
        <v>79000</v>
      </c>
    </row>
    <row r="346" spans="1:12" ht="30" customHeight="1" x14ac:dyDescent="0.2">
      <c r="A346" s="3" t="s">
        <v>570</v>
      </c>
      <c r="B346" s="3" t="s">
        <v>573</v>
      </c>
      <c r="C346" s="3" t="s">
        <v>582</v>
      </c>
      <c r="D346" s="2"/>
      <c r="E346" s="5" t="s">
        <v>217</v>
      </c>
      <c r="F346" s="18">
        <f>F347</f>
        <v>44000</v>
      </c>
      <c r="G346" s="19">
        <f>G347</f>
        <v>0</v>
      </c>
      <c r="H346" s="19">
        <f>H347</f>
        <v>0</v>
      </c>
      <c r="I346" s="41">
        <f>I347</f>
        <v>44000</v>
      </c>
      <c r="J346" s="39">
        <f t="shared" si="9"/>
        <v>0</v>
      </c>
      <c r="K346" s="41">
        <f>K347</f>
        <v>44000</v>
      </c>
      <c r="L346" s="41">
        <f>L347</f>
        <v>44000</v>
      </c>
    </row>
    <row r="347" spans="1:12" ht="17.100000000000001" customHeight="1" x14ac:dyDescent="0.2">
      <c r="A347" s="3" t="s">
        <v>570</v>
      </c>
      <c r="B347" s="3" t="s">
        <v>573</v>
      </c>
      <c r="C347" s="3" t="s">
        <v>582</v>
      </c>
      <c r="D347" s="3" t="s">
        <v>482</v>
      </c>
      <c r="E347" s="5" t="s">
        <v>483</v>
      </c>
      <c r="F347" s="18">
        <v>44000</v>
      </c>
      <c r="G347" s="17"/>
      <c r="H347" s="17"/>
      <c r="I347" s="40">
        <v>44000</v>
      </c>
      <c r="J347" s="39">
        <f t="shared" si="9"/>
        <v>0</v>
      </c>
      <c r="K347" s="40">
        <v>44000</v>
      </c>
      <c r="L347" s="40">
        <v>44000</v>
      </c>
    </row>
    <row r="348" spans="1:12" ht="30" customHeight="1" x14ac:dyDescent="0.2">
      <c r="A348" s="3" t="s">
        <v>570</v>
      </c>
      <c r="B348" s="3" t="s">
        <v>573</v>
      </c>
      <c r="C348" s="3" t="s">
        <v>583</v>
      </c>
      <c r="D348" s="2"/>
      <c r="E348" s="5" t="s">
        <v>584</v>
      </c>
      <c r="F348" s="18">
        <f>F349</f>
        <v>115900</v>
      </c>
      <c r="G348" s="19">
        <f>G349</f>
        <v>-62200</v>
      </c>
      <c r="H348" s="19">
        <f>H349</f>
        <v>0</v>
      </c>
      <c r="I348" s="41">
        <f>I349</f>
        <v>0</v>
      </c>
      <c r="J348" s="39">
        <f t="shared" si="9"/>
        <v>50400</v>
      </c>
      <c r="K348" s="41">
        <f>K349</f>
        <v>50400</v>
      </c>
      <c r="L348" s="41">
        <f>L349</f>
        <v>50400</v>
      </c>
    </row>
    <row r="349" spans="1:12" ht="17.100000000000001" customHeight="1" x14ac:dyDescent="0.2">
      <c r="A349" s="3" t="s">
        <v>570</v>
      </c>
      <c r="B349" s="3" t="s">
        <v>573</v>
      </c>
      <c r="C349" s="3" t="s">
        <v>583</v>
      </c>
      <c r="D349" s="3" t="s">
        <v>482</v>
      </c>
      <c r="E349" s="5" t="s">
        <v>483</v>
      </c>
      <c r="F349" s="18">
        <v>115900</v>
      </c>
      <c r="G349" s="17">
        <v>-62200</v>
      </c>
      <c r="H349" s="17"/>
      <c r="I349" s="40">
        <v>0</v>
      </c>
      <c r="J349" s="39">
        <f t="shared" si="9"/>
        <v>50400</v>
      </c>
      <c r="K349" s="40">
        <v>50400</v>
      </c>
      <c r="L349" s="40">
        <v>50400</v>
      </c>
    </row>
    <row r="350" spans="1:12" ht="31.5" hidden="1" x14ac:dyDescent="0.2">
      <c r="A350" s="3" t="s">
        <v>570</v>
      </c>
      <c r="B350" s="3" t="s">
        <v>573</v>
      </c>
      <c r="C350" s="30" t="s">
        <v>281</v>
      </c>
      <c r="D350" s="3"/>
      <c r="E350" s="31" t="s">
        <v>294</v>
      </c>
      <c r="F350" s="18"/>
      <c r="G350" s="17"/>
      <c r="H350" s="17"/>
      <c r="I350" s="40">
        <f>I351</f>
        <v>0</v>
      </c>
      <c r="J350" s="39">
        <f t="shared" si="9"/>
        <v>0</v>
      </c>
      <c r="K350" s="40">
        <f>K351</f>
        <v>0</v>
      </c>
      <c r="L350" s="40">
        <f>L351</f>
        <v>0</v>
      </c>
    </row>
    <row r="351" spans="1:12" ht="17.100000000000001" hidden="1" customHeight="1" x14ac:dyDescent="0.2">
      <c r="A351" s="3" t="s">
        <v>570</v>
      </c>
      <c r="B351" s="3" t="s">
        <v>573</v>
      </c>
      <c r="C351" s="30" t="s">
        <v>281</v>
      </c>
      <c r="D351" s="3" t="s">
        <v>482</v>
      </c>
      <c r="E351" s="31" t="s">
        <v>483</v>
      </c>
      <c r="F351" s="18"/>
      <c r="G351" s="17"/>
      <c r="H351" s="17"/>
      <c r="I351" s="40"/>
      <c r="J351" s="39">
        <f t="shared" si="9"/>
        <v>0</v>
      </c>
      <c r="K351" s="40"/>
      <c r="L351" s="40"/>
    </row>
    <row r="352" spans="1:12" ht="32.25" customHeight="1" x14ac:dyDescent="0.2">
      <c r="A352" s="29" t="s">
        <v>570</v>
      </c>
      <c r="B352" s="30" t="s">
        <v>573</v>
      </c>
      <c r="C352" s="30" t="s">
        <v>115</v>
      </c>
      <c r="D352" s="2"/>
      <c r="E352" s="5" t="s">
        <v>234</v>
      </c>
      <c r="F352" s="18"/>
      <c r="G352" s="17"/>
      <c r="H352" s="17"/>
      <c r="I352" s="40">
        <f>I353</f>
        <v>0</v>
      </c>
      <c r="J352" s="39">
        <f t="shared" si="9"/>
        <v>625000</v>
      </c>
      <c r="K352" s="40">
        <f>K353</f>
        <v>625000</v>
      </c>
      <c r="L352" s="40">
        <f>L353</f>
        <v>625000</v>
      </c>
    </row>
    <row r="353" spans="1:12" ht="17.100000000000001" customHeight="1" x14ac:dyDescent="0.2">
      <c r="A353" s="29" t="s">
        <v>570</v>
      </c>
      <c r="B353" s="30" t="s">
        <v>573</v>
      </c>
      <c r="C353" s="30" t="s">
        <v>115</v>
      </c>
      <c r="D353" s="3" t="s">
        <v>482</v>
      </c>
      <c r="E353" s="31" t="s">
        <v>483</v>
      </c>
      <c r="F353" s="18"/>
      <c r="G353" s="17"/>
      <c r="H353" s="17"/>
      <c r="I353" s="40">
        <v>0</v>
      </c>
      <c r="J353" s="39">
        <f t="shared" si="9"/>
        <v>625000</v>
      </c>
      <c r="K353" s="40">
        <v>625000</v>
      </c>
      <c r="L353" s="40">
        <v>625000</v>
      </c>
    </row>
    <row r="354" spans="1:12" ht="31.5" customHeight="1" x14ac:dyDescent="0.2">
      <c r="A354" s="29" t="s">
        <v>570</v>
      </c>
      <c r="B354" s="30" t="s">
        <v>573</v>
      </c>
      <c r="C354" s="30" t="s">
        <v>115</v>
      </c>
      <c r="D354" s="2"/>
      <c r="E354" s="5" t="s">
        <v>234</v>
      </c>
      <c r="F354" s="18"/>
      <c r="G354" s="17"/>
      <c r="H354" s="17"/>
      <c r="I354" s="40">
        <f>I355</f>
        <v>325000</v>
      </c>
      <c r="J354" s="39">
        <f t="shared" si="9"/>
        <v>-325000</v>
      </c>
      <c r="K354" s="40">
        <f>K355</f>
        <v>0</v>
      </c>
      <c r="L354" s="40">
        <f>L355</f>
        <v>0</v>
      </c>
    </row>
    <row r="355" spans="1:12" ht="18.75" customHeight="1" x14ac:dyDescent="0.2">
      <c r="A355" s="29" t="s">
        <v>570</v>
      </c>
      <c r="B355" s="30" t="s">
        <v>573</v>
      </c>
      <c r="C355" s="30" t="s">
        <v>115</v>
      </c>
      <c r="D355" s="3" t="s">
        <v>464</v>
      </c>
      <c r="E355" s="31" t="s">
        <v>465</v>
      </c>
      <c r="F355" s="18"/>
      <c r="G355" s="17"/>
      <c r="H355" s="17"/>
      <c r="I355" s="40">
        <v>325000</v>
      </c>
      <c r="J355" s="39">
        <f t="shared" si="9"/>
        <v>-325000</v>
      </c>
      <c r="K355" s="40">
        <v>0</v>
      </c>
      <c r="L355" s="40">
        <v>0</v>
      </c>
    </row>
    <row r="356" spans="1:12" ht="31.5" customHeight="1" x14ac:dyDescent="0.2">
      <c r="A356" s="29" t="s">
        <v>570</v>
      </c>
      <c r="B356" s="30" t="s">
        <v>573</v>
      </c>
      <c r="C356" s="30" t="s">
        <v>180</v>
      </c>
      <c r="D356" s="2"/>
      <c r="E356" s="5" t="s">
        <v>235</v>
      </c>
      <c r="F356" s="18"/>
      <c r="G356" s="17"/>
      <c r="H356" s="17"/>
      <c r="I356" s="40">
        <f>I357</f>
        <v>0</v>
      </c>
      <c r="J356" s="39">
        <f t="shared" si="9"/>
        <v>668900</v>
      </c>
      <c r="K356" s="40">
        <f>K357</f>
        <v>668900</v>
      </c>
      <c r="L356" s="40">
        <f>L357</f>
        <v>668900</v>
      </c>
    </row>
    <row r="357" spans="1:12" ht="22.5" customHeight="1" x14ac:dyDescent="0.2">
      <c r="A357" s="29" t="s">
        <v>570</v>
      </c>
      <c r="B357" s="30" t="s">
        <v>573</v>
      </c>
      <c r="C357" s="30" t="s">
        <v>180</v>
      </c>
      <c r="D357" s="3" t="s">
        <v>482</v>
      </c>
      <c r="E357" s="31" t="s">
        <v>483</v>
      </c>
      <c r="F357" s="18"/>
      <c r="G357" s="17"/>
      <c r="H357" s="17"/>
      <c r="I357" s="40">
        <v>0</v>
      </c>
      <c r="J357" s="39">
        <f t="shared" si="9"/>
        <v>668900</v>
      </c>
      <c r="K357" s="40">
        <v>668900</v>
      </c>
      <c r="L357" s="40">
        <v>668900</v>
      </c>
    </row>
    <row r="358" spans="1:12" ht="27" customHeight="1" x14ac:dyDescent="0.2">
      <c r="A358" s="3" t="s">
        <v>570</v>
      </c>
      <c r="B358" s="3" t="s">
        <v>585</v>
      </c>
      <c r="C358" s="2"/>
      <c r="D358" s="2"/>
      <c r="E358" s="5" t="s">
        <v>586</v>
      </c>
      <c r="F358" s="15">
        <f>F359+F363+F365</f>
        <v>2211146</v>
      </c>
      <c r="G358" s="13">
        <f>G359+G363+G365</f>
        <v>595124</v>
      </c>
      <c r="H358" s="13">
        <f>H359+H363+H365</f>
        <v>1105890</v>
      </c>
      <c r="I358" s="39">
        <f>I359+I363+I365+I367+I369+I361+I371+I373+I375</f>
        <v>2832770</v>
      </c>
      <c r="J358" s="39">
        <f t="shared" si="9"/>
        <v>890644</v>
      </c>
      <c r="K358" s="39">
        <f>K359+K363+K365+K367+K369+K361+K371+K373+K375</f>
        <v>3723414</v>
      </c>
      <c r="L358" s="39">
        <f>L359+L363+L365+L367+L369+L361+L371+L373+L375</f>
        <v>3814553</v>
      </c>
    </row>
    <row r="359" spans="1:12" ht="14.25" customHeight="1" x14ac:dyDescent="0.2">
      <c r="A359" s="3" t="s">
        <v>570</v>
      </c>
      <c r="B359" s="3" t="s">
        <v>585</v>
      </c>
      <c r="C359" s="3" t="s">
        <v>514</v>
      </c>
      <c r="D359" s="2"/>
      <c r="E359" s="5" t="s">
        <v>485</v>
      </c>
      <c r="F359" s="21">
        <f>F360</f>
        <v>582446</v>
      </c>
      <c r="G359" s="13">
        <f>G360</f>
        <v>40000</v>
      </c>
      <c r="H359" s="13">
        <f>H360</f>
        <v>552945</v>
      </c>
      <c r="I359" s="39">
        <f>I360</f>
        <v>604678</v>
      </c>
      <c r="J359" s="39">
        <f t="shared" si="9"/>
        <v>13984</v>
      </c>
      <c r="K359" s="39">
        <f>K360</f>
        <v>618662</v>
      </c>
      <c r="L359" s="39">
        <f>L360</f>
        <v>618662</v>
      </c>
    </row>
    <row r="360" spans="1:12" ht="17.100000000000001" customHeight="1" x14ac:dyDescent="0.2">
      <c r="A360" s="3" t="s">
        <v>570</v>
      </c>
      <c r="B360" s="3" t="s">
        <v>585</v>
      </c>
      <c r="C360" s="3" t="s">
        <v>514</v>
      </c>
      <c r="D360" s="3" t="s">
        <v>464</v>
      </c>
      <c r="E360" s="5" t="s">
        <v>465</v>
      </c>
      <c r="F360" s="18">
        <v>582446</v>
      </c>
      <c r="G360" s="17">
        <v>40000</v>
      </c>
      <c r="H360" s="17">
        <v>552945</v>
      </c>
      <c r="I360" s="40">
        <v>604678</v>
      </c>
      <c r="J360" s="39">
        <f t="shared" si="9"/>
        <v>13984</v>
      </c>
      <c r="K360" s="40">
        <v>618662</v>
      </c>
      <c r="L360" s="40">
        <v>618662</v>
      </c>
    </row>
    <row r="361" spans="1:12" ht="25.5" hidden="1" customHeight="1" x14ac:dyDescent="0.2">
      <c r="A361" s="3" t="s">
        <v>570</v>
      </c>
      <c r="B361" s="3" t="s">
        <v>585</v>
      </c>
      <c r="C361" s="3" t="s">
        <v>183</v>
      </c>
      <c r="D361" s="3"/>
      <c r="E361" s="5" t="s">
        <v>640</v>
      </c>
      <c r="F361" s="18"/>
      <c r="G361" s="17"/>
      <c r="H361" s="17"/>
      <c r="I361" s="40">
        <f>I362</f>
        <v>0</v>
      </c>
      <c r="J361" s="39">
        <f t="shared" si="9"/>
        <v>0</v>
      </c>
      <c r="K361" s="40">
        <f>K362</f>
        <v>0</v>
      </c>
      <c r="L361" s="40">
        <f>L362</f>
        <v>0</v>
      </c>
    </row>
    <row r="362" spans="1:12" ht="24.75" hidden="1" customHeight="1" x14ac:dyDescent="0.2">
      <c r="A362" s="3" t="s">
        <v>570</v>
      </c>
      <c r="B362" s="3" t="s">
        <v>585</v>
      </c>
      <c r="C362" s="3" t="s">
        <v>183</v>
      </c>
      <c r="D362" s="3" t="s">
        <v>181</v>
      </c>
      <c r="E362" s="31" t="s">
        <v>182</v>
      </c>
      <c r="F362" s="18"/>
      <c r="G362" s="17"/>
      <c r="H362" s="17"/>
      <c r="I362" s="40"/>
      <c r="J362" s="39">
        <f t="shared" si="9"/>
        <v>0</v>
      </c>
      <c r="K362" s="40"/>
      <c r="L362" s="40"/>
    </row>
    <row r="363" spans="1:12" ht="24" customHeight="1" x14ac:dyDescent="0.2">
      <c r="A363" s="3" t="s">
        <v>570</v>
      </c>
      <c r="B363" s="3" t="s">
        <v>585</v>
      </c>
      <c r="C363" s="3" t="s">
        <v>568</v>
      </c>
      <c r="D363" s="2"/>
      <c r="E363" s="5" t="s">
        <v>225</v>
      </c>
      <c r="F363" s="18">
        <f>F364</f>
        <v>1596738</v>
      </c>
      <c r="G363" s="19">
        <f>G364</f>
        <v>500000</v>
      </c>
      <c r="H363" s="19">
        <f>H364</f>
        <v>552945</v>
      </c>
      <c r="I363" s="41">
        <f>I364</f>
        <v>2145387</v>
      </c>
      <c r="J363" s="39">
        <f t="shared" si="9"/>
        <v>159865</v>
      </c>
      <c r="K363" s="41">
        <f>K364</f>
        <v>2305252</v>
      </c>
      <c r="L363" s="41">
        <f>L364</f>
        <v>2396391</v>
      </c>
    </row>
    <row r="364" spans="1:12" ht="17.100000000000001" customHeight="1" x14ac:dyDescent="0.2">
      <c r="A364" s="3" t="s">
        <v>570</v>
      </c>
      <c r="B364" s="3" t="s">
        <v>585</v>
      </c>
      <c r="C364" s="3" t="s">
        <v>568</v>
      </c>
      <c r="D364" s="3" t="s">
        <v>482</v>
      </c>
      <c r="E364" s="5" t="s">
        <v>483</v>
      </c>
      <c r="F364" s="18">
        <v>1596738</v>
      </c>
      <c r="G364" s="17">
        <v>500000</v>
      </c>
      <c r="H364" s="17">
        <v>552945</v>
      </c>
      <c r="I364" s="40">
        <v>2145387</v>
      </c>
      <c r="J364" s="39">
        <f t="shared" si="9"/>
        <v>159865</v>
      </c>
      <c r="K364" s="40">
        <v>2305252</v>
      </c>
      <c r="L364" s="40">
        <v>2396391</v>
      </c>
    </row>
    <row r="365" spans="1:12" ht="16.5" customHeight="1" x14ac:dyDescent="0.2">
      <c r="A365" s="3" t="s">
        <v>570</v>
      </c>
      <c r="B365" s="3" t="s">
        <v>585</v>
      </c>
      <c r="C365" s="3" t="s">
        <v>587</v>
      </c>
      <c r="D365" s="2"/>
      <c r="E365" s="5" t="s">
        <v>89</v>
      </c>
      <c r="F365" s="18">
        <f>F366</f>
        <v>31962</v>
      </c>
      <c r="G365" s="19">
        <f>G366</f>
        <v>55124</v>
      </c>
      <c r="H365" s="19">
        <f>H366</f>
        <v>0</v>
      </c>
      <c r="I365" s="41">
        <f>I366</f>
        <v>58805</v>
      </c>
      <c r="J365" s="39">
        <f t="shared" si="9"/>
        <v>-31805</v>
      </c>
      <c r="K365" s="41">
        <f>K366</f>
        <v>27000</v>
      </c>
      <c r="L365" s="41">
        <f>L366</f>
        <v>27000</v>
      </c>
    </row>
    <row r="366" spans="1:12" ht="17.100000000000001" customHeight="1" x14ac:dyDescent="0.2">
      <c r="A366" s="3" t="s">
        <v>570</v>
      </c>
      <c r="B366" s="3" t="s">
        <v>585</v>
      </c>
      <c r="C366" s="3" t="s">
        <v>587</v>
      </c>
      <c r="D366" s="3" t="s">
        <v>482</v>
      </c>
      <c r="E366" s="5" t="s">
        <v>483</v>
      </c>
      <c r="F366" s="18">
        <v>31962</v>
      </c>
      <c r="G366" s="17">
        <v>55124</v>
      </c>
      <c r="H366" s="17"/>
      <c r="I366" s="40">
        <v>58805</v>
      </c>
      <c r="J366" s="39">
        <f t="shared" si="9"/>
        <v>-31805</v>
      </c>
      <c r="K366" s="40">
        <v>27000</v>
      </c>
      <c r="L366" s="40">
        <v>27000</v>
      </c>
    </row>
    <row r="367" spans="1:12" ht="23.25" customHeight="1" x14ac:dyDescent="0.2">
      <c r="A367" s="29" t="s">
        <v>570</v>
      </c>
      <c r="B367" s="30" t="s">
        <v>585</v>
      </c>
      <c r="C367" s="30" t="s">
        <v>116</v>
      </c>
      <c r="D367" s="2"/>
      <c r="E367" s="31" t="s">
        <v>118</v>
      </c>
      <c r="F367" s="18"/>
      <c r="G367" s="17"/>
      <c r="H367" s="17"/>
      <c r="I367" s="40">
        <f>I368</f>
        <v>22500</v>
      </c>
      <c r="J367" s="39">
        <f t="shared" si="9"/>
        <v>0</v>
      </c>
      <c r="K367" s="40">
        <f>K368</f>
        <v>22500</v>
      </c>
      <c r="L367" s="40">
        <f>L368</f>
        <v>22500</v>
      </c>
    </row>
    <row r="368" spans="1:12" ht="17.100000000000001" customHeight="1" x14ac:dyDescent="0.2">
      <c r="A368" s="29" t="s">
        <v>570</v>
      </c>
      <c r="B368" s="30" t="s">
        <v>585</v>
      </c>
      <c r="C368" s="30" t="s">
        <v>116</v>
      </c>
      <c r="D368" s="3" t="s">
        <v>482</v>
      </c>
      <c r="E368" s="31" t="s">
        <v>483</v>
      </c>
      <c r="F368" s="18"/>
      <c r="G368" s="17"/>
      <c r="H368" s="17"/>
      <c r="I368" s="40">
        <v>22500</v>
      </c>
      <c r="J368" s="39">
        <f t="shared" si="9"/>
        <v>0</v>
      </c>
      <c r="K368" s="40">
        <v>22500</v>
      </c>
      <c r="L368" s="40">
        <v>22500</v>
      </c>
    </row>
    <row r="369" spans="1:12" ht="24.75" customHeight="1" x14ac:dyDescent="0.2">
      <c r="A369" s="29" t="s">
        <v>570</v>
      </c>
      <c r="B369" s="30" t="s">
        <v>585</v>
      </c>
      <c r="C369" s="30" t="s">
        <v>117</v>
      </c>
      <c r="D369" s="2"/>
      <c r="E369" s="31" t="s">
        <v>103</v>
      </c>
      <c r="F369" s="18"/>
      <c r="G369" s="17"/>
      <c r="H369" s="17"/>
      <c r="I369" s="40">
        <f>I370</f>
        <v>1400</v>
      </c>
      <c r="J369" s="39">
        <f t="shared" si="9"/>
        <v>-1400</v>
      </c>
      <c r="K369" s="40">
        <f>K370</f>
        <v>0</v>
      </c>
      <c r="L369" s="40">
        <f>L370</f>
        <v>0</v>
      </c>
    </row>
    <row r="370" spans="1:12" ht="15.75" customHeight="1" x14ac:dyDescent="0.2">
      <c r="A370" s="29" t="s">
        <v>570</v>
      </c>
      <c r="B370" s="30" t="s">
        <v>585</v>
      </c>
      <c r="C370" s="30" t="s">
        <v>117</v>
      </c>
      <c r="D370" s="3" t="s">
        <v>482</v>
      </c>
      <c r="E370" s="31" t="s">
        <v>483</v>
      </c>
      <c r="F370" s="18"/>
      <c r="G370" s="17"/>
      <c r="H370" s="17"/>
      <c r="I370" s="40">
        <v>1400</v>
      </c>
      <c r="J370" s="39">
        <f t="shared" si="9"/>
        <v>-1400</v>
      </c>
      <c r="K370" s="40"/>
      <c r="L370" s="40"/>
    </row>
    <row r="371" spans="1:12" ht="28.5" hidden="1" customHeight="1" x14ac:dyDescent="0.2">
      <c r="A371" s="29" t="s">
        <v>570</v>
      </c>
      <c r="B371" s="30" t="s">
        <v>585</v>
      </c>
      <c r="C371" s="30" t="s">
        <v>500</v>
      </c>
      <c r="D371" s="3"/>
      <c r="E371" s="5" t="s">
        <v>208</v>
      </c>
      <c r="F371" s="18"/>
      <c r="G371" s="17"/>
      <c r="H371" s="17"/>
      <c r="I371" s="40">
        <f>I372</f>
        <v>0</v>
      </c>
      <c r="J371" s="39">
        <f t="shared" si="9"/>
        <v>0</v>
      </c>
      <c r="K371" s="40">
        <f>K372</f>
        <v>0</v>
      </c>
      <c r="L371" s="40">
        <f>L372</f>
        <v>0</v>
      </c>
    </row>
    <row r="372" spans="1:12" ht="19.5" hidden="1" customHeight="1" x14ac:dyDescent="0.2">
      <c r="A372" s="29" t="s">
        <v>570</v>
      </c>
      <c r="B372" s="30" t="s">
        <v>585</v>
      </c>
      <c r="C372" s="30" t="s">
        <v>500</v>
      </c>
      <c r="D372" s="3" t="s">
        <v>464</v>
      </c>
      <c r="E372" s="31" t="s">
        <v>483</v>
      </c>
      <c r="F372" s="18"/>
      <c r="G372" s="17"/>
      <c r="H372" s="17"/>
      <c r="I372" s="40"/>
      <c r="J372" s="39">
        <f t="shared" si="9"/>
        <v>0</v>
      </c>
      <c r="K372" s="40"/>
      <c r="L372" s="40"/>
    </row>
    <row r="373" spans="1:12" ht="31.5" x14ac:dyDescent="0.2">
      <c r="A373" s="29" t="s">
        <v>570</v>
      </c>
      <c r="B373" s="30" t="s">
        <v>585</v>
      </c>
      <c r="C373" s="30" t="s">
        <v>310</v>
      </c>
      <c r="D373" s="3"/>
      <c r="E373" s="31" t="s">
        <v>340</v>
      </c>
      <c r="F373" s="18"/>
      <c r="G373" s="17"/>
      <c r="H373" s="17"/>
      <c r="I373" s="40">
        <f>I374</f>
        <v>0</v>
      </c>
      <c r="J373" s="39">
        <f t="shared" si="9"/>
        <v>750000</v>
      </c>
      <c r="K373" s="40">
        <f>K374</f>
        <v>750000</v>
      </c>
      <c r="L373" s="40">
        <f>L374</f>
        <v>750000</v>
      </c>
    </row>
    <row r="374" spans="1:12" ht="19.5" customHeight="1" x14ac:dyDescent="0.2">
      <c r="A374" s="29" t="s">
        <v>570</v>
      </c>
      <c r="B374" s="30" t="s">
        <v>585</v>
      </c>
      <c r="C374" s="30" t="s">
        <v>310</v>
      </c>
      <c r="D374" s="3" t="s">
        <v>482</v>
      </c>
      <c r="E374" s="31" t="s">
        <v>483</v>
      </c>
      <c r="F374" s="18"/>
      <c r="G374" s="17"/>
      <c r="H374" s="17"/>
      <c r="I374" s="40">
        <v>0</v>
      </c>
      <c r="J374" s="39">
        <f t="shared" si="9"/>
        <v>750000</v>
      </c>
      <c r="K374" s="40">
        <v>750000</v>
      </c>
      <c r="L374" s="40">
        <v>750000</v>
      </c>
    </row>
    <row r="375" spans="1:12" ht="31.5" hidden="1" x14ac:dyDescent="0.2">
      <c r="A375" s="29" t="s">
        <v>570</v>
      </c>
      <c r="B375" s="30" t="s">
        <v>585</v>
      </c>
      <c r="C375" s="30" t="s">
        <v>317</v>
      </c>
      <c r="D375" s="3"/>
      <c r="E375" s="31" t="s">
        <v>347</v>
      </c>
      <c r="F375" s="18"/>
      <c r="G375" s="17"/>
      <c r="H375" s="17"/>
      <c r="I375" s="40">
        <f>I376</f>
        <v>0</v>
      </c>
      <c r="J375" s="39">
        <f t="shared" si="9"/>
        <v>0</v>
      </c>
      <c r="K375" s="40">
        <f>K376</f>
        <v>0</v>
      </c>
      <c r="L375" s="40">
        <f>L376</f>
        <v>0</v>
      </c>
    </row>
    <row r="376" spans="1:12" ht="31.5" hidden="1" x14ac:dyDescent="0.2">
      <c r="A376" s="29" t="s">
        <v>570</v>
      </c>
      <c r="B376" s="30" t="s">
        <v>585</v>
      </c>
      <c r="C376" s="30" t="s">
        <v>317</v>
      </c>
      <c r="D376" s="3" t="s">
        <v>181</v>
      </c>
      <c r="E376" s="31" t="s">
        <v>182</v>
      </c>
      <c r="F376" s="18"/>
      <c r="G376" s="17"/>
      <c r="H376" s="17"/>
      <c r="I376" s="40"/>
      <c r="J376" s="39">
        <f t="shared" si="9"/>
        <v>0</v>
      </c>
      <c r="K376" s="40"/>
      <c r="L376" s="40"/>
    </row>
    <row r="377" spans="1:12" ht="19.5" hidden="1" customHeight="1" x14ac:dyDescent="0.2">
      <c r="A377" s="29" t="s">
        <v>570</v>
      </c>
      <c r="B377" s="30" t="s">
        <v>540</v>
      </c>
      <c r="C377" s="30"/>
      <c r="D377" s="3"/>
      <c r="E377" s="31" t="s">
        <v>541</v>
      </c>
      <c r="F377" s="18"/>
      <c r="G377" s="17"/>
      <c r="H377" s="17"/>
      <c r="I377" s="40">
        <f>I378</f>
        <v>0</v>
      </c>
      <c r="J377" s="39">
        <f t="shared" si="9"/>
        <v>0</v>
      </c>
      <c r="K377" s="40">
        <f>K378</f>
        <v>0</v>
      </c>
      <c r="L377" s="40">
        <f>L378</f>
        <v>0</v>
      </c>
    </row>
    <row r="378" spans="1:12" ht="19.5" hidden="1" customHeight="1" x14ac:dyDescent="0.2">
      <c r="A378" s="29" t="s">
        <v>570</v>
      </c>
      <c r="B378" s="30" t="s">
        <v>540</v>
      </c>
      <c r="C378" s="30" t="s">
        <v>196</v>
      </c>
      <c r="D378" s="3"/>
      <c r="E378" s="31" t="s">
        <v>268</v>
      </c>
      <c r="F378" s="18"/>
      <c r="G378" s="17"/>
      <c r="H378" s="17"/>
      <c r="I378" s="40">
        <f>I379</f>
        <v>0</v>
      </c>
      <c r="J378" s="39">
        <f t="shared" si="9"/>
        <v>0</v>
      </c>
      <c r="K378" s="40">
        <f>K379</f>
        <v>0</v>
      </c>
      <c r="L378" s="40">
        <f>L379</f>
        <v>0</v>
      </c>
    </row>
    <row r="379" spans="1:12" ht="19.5" hidden="1" customHeight="1" x14ac:dyDescent="0.2">
      <c r="A379" s="29" t="s">
        <v>570</v>
      </c>
      <c r="B379" s="30" t="s">
        <v>540</v>
      </c>
      <c r="C379" s="30" t="s">
        <v>196</v>
      </c>
      <c r="D379" s="3" t="s">
        <v>544</v>
      </c>
      <c r="E379" s="31" t="s">
        <v>545</v>
      </c>
      <c r="F379" s="18"/>
      <c r="G379" s="17"/>
      <c r="H379" s="17"/>
      <c r="I379" s="40"/>
      <c r="J379" s="39">
        <f t="shared" si="9"/>
        <v>0</v>
      </c>
      <c r="K379" s="40"/>
      <c r="L379" s="40"/>
    </row>
    <row r="380" spans="1:12" ht="36" customHeight="1" x14ac:dyDescent="0.2">
      <c r="A380" s="1" t="s">
        <v>588</v>
      </c>
      <c r="B380" s="7"/>
      <c r="C380" s="7"/>
      <c r="D380" s="7"/>
      <c r="E380" s="28" t="s">
        <v>589</v>
      </c>
      <c r="F380" s="14">
        <f>F381+F458+F488</f>
        <v>164721841</v>
      </c>
      <c r="G380" s="12">
        <f>G381+G458+G488</f>
        <v>12777120</v>
      </c>
      <c r="H380" s="12">
        <f>H381+H458+H488</f>
        <v>50169828</v>
      </c>
      <c r="I380" s="38">
        <f>I381+I458+I488+I452+I455+I485</f>
        <v>178669292.94999999</v>
      </c>
      <c r="J380" s="38">
        <f t="shared" si="9"/>
        <v>2477581.0500000119</v>
      </c>
      <c r="K380" s="38">
        <f>K381+K458+K488+K452+K455+K485</f>
        <v>181146874</v>
      </c>
      <c r="L380" s="38">
        <f>L381+L458+L488+L452+L455+L485</f>
        <v>180571274</v>
      </c>
    </row>
    <row r="381" spans="1:12" ht="17.100000000000001" customHeight="1" x14ac:dyDescent="0.2">
      <c r="A381" s="3" t="s">
        <v>588</v>
      </c>
      <c r="B381" s="3" t="s">
        <v>528</v>
      </c>
      <c r="C381" s="2"/>
      <c r="D381" s="2"/>
      <c r="E381" s="5" t="s">
        <v>529</v>
      </c>
      <c r="F381" s="15">
        <f>F384+F386+F390+F392+F394+F396+F398+F408+F412+F416+F422+F424+F432</f>
        <v>145448105</v>
      </c>
      <c r="G381" s="13">
        <f>G384+G386+G390+G392+G394+G396+G398+G408+G412+G416+G422+G424+G432</f>
        <v>11301813</v>
      </c>
      <c r="H381" s="13">
        <f>H384+H386+H390+H392+H394+H396+H398+H408+H412+H416+H422+H424+H432</f>
        <v>42718764</v>
      </c>
      <c r="I381" s="39">
        <f>I384+I386+I390+I392+I394+I396+I398+I408+I412+I416+I422+I424+I432+I400+I402+I404+I406+I414+I418+I426+I436+I442+I446+I450+I388+I410+I420+I428+I430+I382+I434+I438++I440+I444+I448</f>
        <v>156254975</v>
      </c>
      <c r="J381" s="39">
        <f t="shared" si="9"/>
        <v>-6921430</v>
      </c>
      <c r="K381" s="39">
        <f>K384+K386+K390+K392+K394+K396+K398+K408+K412+K416+K422+K424+K432+K400+K402+K404+K406+K414+K418+K426+K436+K442+K446+K450+K388+K410+K420+K428+K430+K382+K434+K438++K440+K444+K448</f>
        <v>149333545</v>
      </c>
      <c r="L381" s="39">
        <f>L384+L386+L390+L392+L394+L396+L398+L408+L412+L416+L422+L424+L432+L400+L402+L404+L406+L414+L418+L426+L436+L442+L446+L450+L388+L410+L420+L428+L430+L382+L434+L438++L440+L444+L448</f>
        <v>148353045</v>
      </c>
    </row>
    <row r="382" spans="1:12" ht="17.100000000000001" hidden="1" customHeight="1" x14ac:dyDescent="0.2">
      <c r="A382" s="3" t="s">
        <v>588</v>
      </c>
      <c r="B382" s="3" t="s">
        <v>528</v>
      </c>
      <c r="C382" s="3" t="s">
        <v>318</v>
      </c>
      <c r="D382" s="2"/>
      <c r="E382" s="31" t="s">
        <v>348</v>
      </c>
      <c r="F382" s="15"/>
      <c r="G382" s="13"/>
      <c r="H382" s="13"/>
      <c r="I382" s="39">
        <f>I383</f>
        <v>0</v>
      </c>
      <c r="J382" s="39">
        <f t="shared" si="9"/>
        <v>0</v>
      </c>
      <c r="K382" s="39">
        <f>K383</f>
        <v>0</v>
      </c>
      <c r="L382" s="39">
        <f>L383</f>
        <v>0</v>
      </c>
    </row>
    <row r="383" spans="1:12" ht="17.100000000000001" hidden="1" customHeight="1" x14ac:dyDescent="0.2">
      <c r="A383" s="3" t="s">
        <v>588</v>
      </c>
      <c r="B383" s="3" t="s">
        <v>528</v>
      </c>
      <c r="C383" s="3" t="s">
        <v>318</v>
      </c>
      <c r="D383" s="3" t="s">
        <v>482</v>
      </c>
      <c r="E383" s="31" t="s">
        <v>483</v>
      </c>
      <c r="F383" s="15"/>
      <c r="G383" s="13"/>
      <c r="H383" s="13"/>
      <c r="I383" s="39">
        <v>0</v>
      </c>
      <c r="J383" s="39">
        <f t="shared" si="9"/>
        <v>0</v>
      </c>
      <c r="K383" s="39"/>
      <c r="L383" s="39"/>
    </row>
    <row r="384" spans="1:12" ht="28.5" customHeight="1" x14ac:dyDescent="0.2">
      <c r="A384" s="3" t="s">
        <v>588</v>
      </c>
      <c r="B384" s="3" t="s">
        <v>528</v>
      </c>
      <c r="C384" s="3" t="s">
        <v>590</v>
      </c>
      <c r="D384" s="2"/>
      <c r="E384" s="5" t="s">
        <v>71</v>
      </c>
      <c r="F384" s="21">
        <f>F385</f>
        <v>77944900</v>
      </c>
      <c r="G384" s="13">
        <f>G385</f>
        <v>5183800</v>
      </c>
      <c r="H384" s="13">
        <f>H385</f>
        <v>0</v>
      </c>
      <c r="I384" s="39">
        <f>I385</f>
        <v>118763500</v>
      </c>
      <c r="J384" s="39">
        <f t="shared" si="9"/>
        <v>0</v>
      </c>
      <c r="K384" s="39">
        <f>K385</f>
        <v>118763500</v>
      </c>
      <c r="L384" s="39">
        <f>L385</f>
        <v>118763500</v>
      </c>
    </row>
    <row r="385" spans="1:12" ht="17.100000000000001" customHeight="1" x14ac:dyDescent="0.2">
      <c r="A385" s="3" t="s">
        <v>588</v>
      </c>
      <c r="B385" s="3" t="s">
        <v>528</v>
      </c>
      <c r="C385" s="3" t="s">
        <v>590</v>
      </c>
      <c r="D385" s="3" t="s">
        <v>482</v>
      </c>
      <c r="E385" s="5" t="s">
        <v>483</v>
      </c>
      <c r="F385" s="18">
        <v>77944900</v>
      </c>
      <c r="G385" s="17">
        <v>5183800</v>
      </c>
      <c r="H385" s="17"/>
      <c r="I385" s="40">
        <v>118763500</v>
      </c>
      <c r="J385" s="39">
        <f t="shared" si="9"/>
        <v>0</v>
      </c>
      <c r="K385" s="40">
        <v>118763500</v>
      </c>
      <c r="L385" s="40">
        <v>118763500</v>
      </c>
    </row>
    <row r="386" spans="1:12" ht="22.5" customHeight="1" x14ac:dyDescent="0.2">
      <c r="A386" s="3" t="s">
        <v>588</v>
      </c>
      <c r="B386" s="3" t="s">
        <v>528</v>
      </c>
      <c r="C386" s="3" t="s">
        <v>591</v>
      </c>
      <c r="D386" s="2"/>
      <c r="E386" s="5" t="s">
        <v>236</v>
      </c>
      <c r="F386" s="22">
        <f>F387</f>
        <v>25936867</v>
      </c>
      <c r="G386" s="19">
        <f>G387</f>
        <v>5700000</v>
      </c>
      <c r="H386" s="19">
        <f>H387</f>
        <v>35312189</v>
      </c>
      <c r="I386" s="41">
        <f>I387</f>
        <v>4038730</v>
      </c>
      <c r="J386" s="39">
        <f t="shared" si="9"/>
        <v>-245900</v>
      </c>
      <c r="K386" s="41">
        <f>K387</f>
        <v>3792830</v>
      </c>
      <c r="L386" s="41">
        <f>L387</f>
        <v>3531730</v>
      </c>
    </row>
    <row r="387" spans="1:12" ht="17.100000000000001" customHeight="1" x14ac:dyDescent="0.2">
      <c r="A387" s="3" t="s">
        <v>588</v>
      </c>
      <c r="B387" s="3" t="s">
        <v>528</v>
      </c>
      <c r="C387" s="3" t="s">
        <v>591</v>
      </c>
      <c r="D387" s="3" t="s">
        <v>482</v>
      </c>
      <c r="E387" s="5" t="s">
        <v>483</v>
      </c>
      <c r="F387" s="22">
        <v>25936867</v>
      </c>
      <c r="G387" s="17">
        <v>5700000</v>
      </c>
      <c r="H387" s="17">
        <v>35312189</v>
      </c>
      <c r="I387" s="40">
        <v>4038730</v>
      </c>
      <c r="J387" s="39">
        <f t="shared" si="9"/>
        <v>-245900</v>
      </c>
      <c r="K387" s="40">
        <v>3792830</v>
      </c>
      <c r="L387" s="40">
        <v>3531730</v>
      </c>
    </row>
    <row r="388" spans="1:12" ht="24.75" hidden="1" customHeight="1" x14ac:dyDescent="0.2">
      <c r="A388" s="3" t="s">
        <v>588</v>
      </c>
      <c r="B388" s="3" t="s">
        <v>528</v>
      </c>
      <c r="C388" s="3" t="s">
        <v>163</v>
      </c>
      <c r="D388" s="3"/>
      <c r="E388" s="5" t="s">
        <v>154</v>
      </c>
      <c r="F388" s="22"/>
      <c r="G388" s="17"/>
      <c r="H388" s="17"/>
      <c r="I388" s="40">
        <f>I389</f>
        <v>0</v>
      </c>
      <c r="J388" s="39">
        <f t="shared" si="9"/>
        <v>0</v>
      </c>
      <c r="K388" s="40">
        <f>K389</f>
        <v>0</v>
      </c>
      <c r="L388" s="40">
        <f>L389</f>
        <v>0</v>
      </c>
    </row>
    <row r="389" spans="1:12" ht="17.100000000000001" hidden="1" customHeight="1" x14ac:dyDescent="0.2">
      <c r="A389" s="3" t="s">
        <v>588</v>
      </c>
      <c r="B389" s="3" t="s">
        <v>528</v>
      </c>
      <c r="C389" s="3" t="s">
        <v>163</v>
      </c>
      <c r="D389" s="3" t="s">
        <v>482</v>
      </c>
      <c r="E389" s="31" t="s">
        <v>483</v>
      </c>
      <c r="F389" s="22"/>
      <c r="G389" s="17"/>
      <c r="H389" s="17"/>
      <c r="I389" s="40"/>
      <c r="J389" s="39">
        <f t="shared" si="9"/>
        <v>0</v>
      </c>
      <c r="K389" s="40"/>
      <c r="L389" s="40"/>
    </row>
    <row r="390" spans="1:12" ht="23.25" customHeight="1" x14ac:dyDescent="0.2">
      <c r="A390" s="3" t="s">
        <v>588</v>
      </c>
      <c r="B390" s="3" t="s">
        <v>528</v>
      </c>
      <c r="C390" s="3" t="s">
        <v>592</v>
      </c>
      <c r="D390" s="2"/>
      <c r="E390" s="5" t="s">
        <v>593</v>
      </c>
      <c r="F390" s="22">
        <f>F391</f>
        <v>18749942</v>
      </c>
      <c r="G390" s="19">
        <f>G391</f>
        <v>-11795000</v>
      </c>
      <c r="H390" s="19">
        <f>H391</f>
        <v>0</v>
      </c>
      <c r="I390" s="41">
        <f>I391</f>
        <v>8437500</v>
      </c>
      <c r="J390" s="39">
        <f t="shared" si="9"/>
        <v>1106000</v>
      </c>
      <c r="K390" s="41">
        <f>K391</f>
        <v>9543500</v>
      </c>
      <c r="L390" s="41">
        <f>L391</f>
        <v>8937500</v>
      </c>
    </row>
    <row r="391" spans="1:12" ht="15.75" customHeight="1" x14ac:dyDescent="0.2">
      <c r="A391" s="3" t="s">
        <v>588</v>
      </c>
      <c r="B391" s="3" t="s">
        <v>528</v>
      </c>
      <c r="C391" s="3" t="s">
        <v>592</v>
      </c>
      <c r="D391" s="3" t="s">
        <v>482</v>
      </c>
      <c r="E391" s="5" t="s">
        <v>483</v>
      </c>
      <c r="F391" s="22">
        <v>18749942</v>
      </c>
      <c r="G391" s="17">
        <v>-11795000</v>
      </c>
      <c r="H391" s="17"/>
      <c r="I391" s="40">
        <v>8437500</v>
      </c>
      <c r="J391" s="39">
        <f t="shared" si="9"/>
        <v>1106000</v>
      </c>
      <c r="K391" s="40">
        <v>9543500</v>
      </c>
      <c r="L391" s="40">
        <v>8937500</v>
      </c>
    </row>
    <row r="392" spans="1:12" ht="39" customHeight="1" x14ac:dyDescent="0.2">
      <c r="A392" s="3" t="s">
        <v>588</v>
      </c>
      <c r="B392" s="3" t="s">
        <v>528</v>
      </c>
      <c r="C392" s="3" t="s">
        <v>594</v>
      </c>
      <c r="D392" s="2"/>
      <c r="E392" s="5" t="s">
        <v>237</v>
      </c>
      <c r="F392" s="18">
        <f>F393</f>
        <v>624100</v>
      </c>
      <c r="G392" s="19">
        <f>G393</f>
        <v>0</v>
      </c>
      <c r="H392" s="19">
        <f>H393</f>
        <v>0</v>
      </c>
      <c r="I392" s="41">
        <f>I393</f>
        <v>351600</v>
      </c>
      <c r="J392" s="39">
        <f t="shared" si="9"/>
        <v>181900</v>
      </c>
      <c r="K392" s="41">
        <f>K393</f>
        <v>533500</v>
      </c>
      <c r="L392" s="41">
        <f>L393</f>
        <v>497000</v>
      </c>
    </row>
    <row r="393" spans="1:12" ht="17.100000000000001" customHeight="1" x14ac:dyDescent="0.2">
      <c r="A393" s="3" t="s">
        <v>588</v>
      </c>
      <c r="B393" s="3" t="s">
        <v>528</v>
      </c>
      <c r="C393" s="3" t="s">
        <v>594</v>
      </c>
      <c r="D393" s="3" t="s">
        <v>482</v>
      </c>
      <c r="E393" s="5" t="s">
        <v>483</v>
      </c>
      <c r="F393" s="18">
        <v>624100</v>
      </c>
      <c r="G393" s="17">
        <v>0</v>
      </c>
      <c r="H393" s="17">
        <v>0</v>
      </c>
      <c r="I393" s="40">
        <v>351600</v>
      </c>
      <c r="J393" s="39">
        <f t="shared" ref="J393:J456" si="10">K393-I393</f>
        <v>181900</v>
      </c>
      <c r="K393" s="40">
        <v>533500</v>
      </c>
      <c r="L393" s="40">
        <v>497000</v>
      </c>
    </row>
    <row r="394" spans="1:12" ht="24.75" customHeight="1" x14ac:dyDescent="0.2">
      <c r="A394" s="3" t="s">
        <v>588</v>
      </c>
      <c r="B394" s="3" t="s">
        <v>528</v>
      </c>
      <c r="C394" s="3" t="s">
        <v>595</v>
      </c>
      <c r="D394" s="2"/>
      <c r="E394" s="5" t="s">
        <v>238</v>
      </c>
      <c r="F394" s="16">
        <f>F395</f>
        <v>1384000</v>
      </c>
      <c r="G394" s="19">
        <f>G395</f>
        <v>1314800</v>
      </c>
      <c r="H394" s="19">
        <f>H395</f>
        <v>0</v>
      </c>
      <c r="I394" s="41">
        <f>I395</f>
        <v>1728300</v>
      </c>
      <c r="J394" s="39">
        <f t="shared" si="10"/>
        <v>349700</v>
      </c>
      <c r="K394" s="41">
        <f>K395</f>
        <v>2078000</v>
      </c>
      <c r="L394" s="41">
        <f>L395</f>
        <v>2238100</v>
      </c>
    </row>
    <row r="395" spans="1:12" ht="17.100000000000001" customHeight="1" x14ac:dyDescent="0.2">
      <c r="A395" s="3" t="s">
        <v>588</v>
      </c>
      <c r="B395" s="3" t="s">
        <v>528</v>
      </c>
      <c r="C395" s="3" t="s">
        <v>595</v>
      </c>
      <c r="D395" s="3" t="s">
        <v>482</v>
      </c>
      <c r="E395" s="5" t="s">
        <v>483</v>
      </c>
      <c r="F395" s="16">
        <v>1384000</v>
      </c>
      <c r="G395" s="17">
        <v>1314800</v>
      </c>
      <c r="H395" s="17"/>
      <c r="I395" s="40">
        <v>1728300</v>
      </c>
      <c r="J395" s="39">
        <f t="shared" si="10"/>
        <v>349700</v>
      </c>
      <c r="K395" s="40">
        <v>2078000</v>
      </c>
      <c r="L395" s="40">
        <v>2238100</v>
      </c>
    </row>
    <row r="396" spans="1:12" ht="19.5" customHeight="1" x14ac:dyDescent="0.2">
      <c r="A396" s="3" t="s">
        <v>588</v>
      </c>
      <c r="B396" s="3" t="s">
        <v>528</v>
      </c>
      <c r="C396" s="3" t="s">
        <v>596</v>
      </c>
      <c r="D396" s="2"/>
      <c r="E396" s="5" t="s">
        <v>89</v>
      </c>
      <c r="F396" s="18">
        <f>F397</f>
        <v>7137258</v>
      </c>
      <c r="G396" s="19">
        <f>G397</f>
        <v>6225033</v>
      </c>
      <c r="H396" s="19">
        <f>H397</f>
        <v>0</v>
      </c>
      <c r="I396" s="41">
        <f>I397</f>
        <v>10240133</v>
      </c>
      <c r="J396" s="39">
        <f t="shared" si="10"/>
        <v>-5542031</v>
      </c>
      <c r="K396" s="41">
        <f>K397</f>
        <v>4698102</v>
      </c>
      <c r="L396" s="41">
        <f>L397</f>
        <v>4698102</v>
      </c>
    </row>
    <row r="397" spans="1:12" ht="17.100000000000001" customHeight="1" x14ac:dyDescent="0.2">
      <c r="A397" s="3" t="s">
        <v>588</v>
      </c>
      <c r="B397" s="3" t="s">
        <v>528</v>
      </c>
      <c r="C397" s="3" t="s">
        <v>596</v>
      </c>
      <c r="D397" s="3" t="s">
        <v>482</v>
      </c>
      <c r="E397" s="5" t="s">
        <v>483</v>
      </c>
      <c r="F397" s="18">
        <v>7137258</v>
      </c>
      <c r="G397" s="17">
        <f>9035094-146000-2-1314800-1449259+100000</f>
        <v>6225033</v>
      </c>
      <c r="H397" s="17"/>
      <c r="I397" s="40">
        <v>10240133</v>
      </c>
      <c r="J397" s="39">
        <f t="shared" si="10"/>
        <v>-5542031</v>
      </c>
      <c r="K397" s="40">
        <v>4698102</v>
      </c>
      <c r="L397" s="40">
        <v>4698102</v>
      </c>
    </row>
    <row r="398" spans="1:12" ht="21.75" hidden="1" customHeight="1" x14ac:dyDescent="0.2">
      <c r="A398" s="3" t="s">
        <v>588</v>
      </c>
      <c r="B398" s="3" t="s">
        <v>528</v>
      </c>
      <c r="C398" s="3" t="s">
        <v>597</v>
      </c>
      <c r="D398" s="2"/>
      <c r="E398" s="5" t="s">
        <v>239</v>
      </c>
      <c r="F398" s="18">
        <f>F399</f>
        <v>2471700</v>
      </c>
      <c r="G398" s="19">
        <f>G399</f>
        <v>273890</v>
      </c>
      <c r="H398" s="19">
        <f>H399</f>
        <v>0</v>
      </c>
      <c r="I398" s="41">
        <f>I399</f>
        <v>0</v>
      </c>
      <c r="J398" s="39">
        <f t="shared" si="10"/>
        <v>0</v>
      </c>
      <c r="K398" s="41">
        <f>K399</f>
        <v>0</v>
      </c>
      <c r="L398" s="41">
        <f>L399</f>
        <v>0</v>
      </c>
    </row>
    <row r="399" spans="1:12" ht="17.100000000000001" hidden="1" customHeight="1" x14ac:dyDescent="0.2">
      <c r="A399" s="3" t="s">
        <v>588</v>
      </c>
      <c r="B399" s="3" t="s">
        <v>528</v>
      </c>
      <c r="C399" s="3" t="s">
        <v>597</v>
      </c>
      <c r="D399" s="3" t="s">
        <v>482</v>
      </c>
      <c r="E399" s="5" t="s">
        <v>483</v>
      </c>
      <c r="F399" s="18">
        <v>2471700</v>
      </c>
      <c r="G399" s="17">
        <v>273890</v>
      </c>
      <c r="H399" s="17"/>
      <c r="I399" s="40"/>
      <c r="J399" s="39">
        <f t="shared" si="10"/>
        <v>0</v>
      </c>
      <c r="K399" s="40"/>
      <c r="L399" s="40"/>
    </row>
    <row r="400" spans="1:12" ht="28.5" customHeight="1" x14ac:dyDescent="0.2">
      <c r="A400" s="29" t="s">
        <v>588</v>
      </c>
      <c r="B400" s="30" t="s">
        <v>528</v>
      </c>
      <c r="C400" s="30" t="s">
        <v>65</v>
      </c>
      <c r="D400" s="2"/>
      <c r="E400" s="31" t="s">
        <v>119</v>
      </c>
      <c r="F400" s="18"/>
      <c r="G400" s="17"/>
      <c r="H400" s="17"/>
      <c r="I400" s="40">
        <f>I401</f>
        <v>600000</v>
      </c>
      <c r="J400" s="39">
        <f t="shared" si="10"/>
        <v>-600000</v>
      </c>
      <c r="K400" s="40">
        <f>K401</f>
        <v>0</v>
      </c>
      <c r="L400" s="40">
        <f>L401</f>
        <v>0</v>
      </c>
    </row>
    <row r="401" spans="1:12" ht="17.100000000000001" customHeight="1" x14ac:dyDescent="0.2">
      <c r="A401" s="29" t="s">
        <v>588</v>
      </c>
      <c r="B401" s="30" t="s">
        <v>528</v>
      </c>
      <c r="C401" s="30" t="s">
        <v>65</v>
      </c>
      <c r="D401" s="3" t="s">
        <v>482</v>
      </c>
      <c r="E401" s="31" t="s">
        <v>483</v>
      </c>
      <c r="F401" s="18"/>
      <c r="G401" s="17"/>
      <c r="H401" s="17"/>
      <c r="I401" s="40">
        <v>600000</v>
      </c>
      <c r="J401" s="39">
        <f t="shared" si="10"/>
        <v>-600000</v>
      </c>
      <c r="K401" s="40">
        <v>0</v>
      </c>
      <c r="L401" s="40">
        <v>0</v>
      </c>
    </row>
    <row r="402" spans="1:12" ht="26.25" customHeight="1" x14ac:dyDescent="0.2">
      <c r="A402" s="29" t="s">
        <v>588</v>
      </c>
      <c r="B402" s="30" t="s">
        <v>528</v>
      </c>
      <c r="C402" s="30" t="s">
        <v>66</v>
      </c>
      <c r="D402" s="2"/>
      <c r="E402" s="5" t="s">
        <v>120</v>
      </c>
      <c r="F402" s="18"/>
      <c r="G402" s="17"/>
      <c r="H402" s="17"/>
      <c r="I402" s="40">
        <f>I403</f>
        <v>650000</v>
      </c>
      <c r="J402" s="39">
        <f t="shared" si="10"/>
        <v>0</v>
      </c>
      <c r="K402" s="40">
        <f>K403</f>
        <v>650000</v>
      </c>
      <c r="L402" s="40">
        <f>L403</f>
        <v>650000</v>
      </c>
    </row>
    <row r="403" spans="1:12" ht="17.100000000000001" customHeight="1" x14ac:dyDescent="0.2">
      <c r="A403" s="29" t="s">
        <v>588</v>
      </c>
      <c r="B403" s="30" t="s">
        <v>528</v>
      </c>
      <c r="C403" s="30" t="s">
        <v>66</v>
      </c>
      <c r="D403" s="3" t="s">
        <v>482</v>
      </c>
      <c r="E403" s="31" t="s">
        <v>483</v>
      </c>
      <c r="F403" s="18"/>
      <c r="G403" s="17"/>
      <c r="H403" s="17"/>
      <c r="I403" s="40">
        <v>650000</v>
      </c>
      <c r="J403" s="39">
        <f t="shared" si="10"/>
        <v>0</v>
      </c>
      <c r="K403" s="40">
        <v>650000</v>
      </c>
      <c r="L403" s="40">
        <v>650000</v>
      </c>
    </row>
    <row r="404" spans="1:12" ht="26.25" customHeight="1" x14ac:dyDescent="0.2">
      <c r="A404" s="29" t="s">
        <v>588</v>
      </c>
      <c r="B404" s="30" t="s">
        <v>528</v>
      </c>
      <c r="C404" s="30" t="s">
        <v>67</v>
      </c>
      <c r="D404" s="2"/>
      <c r="E404" s="5" t="s">
        <v>121</v>
      </c>
      <c r="F404" s="18"/>
      <c r="G404" s="17"/>
      <c r="H404" s="17"/>
      <c r="I404" s="40">
        <f>I405</f>
        <v>500000</v>
      </c>
      <c r="J404" s="39">
        <f t="shared" si="10"/>
        <v>0</v>
      </c>
      <c r="K404" s="40">
        <f>K405</f>
        <v>500000</v>
      </c>
      <c r="L404" s="40">
        <f>L405</f>
        <v>500000</v>
      </c>
    </row>
    <row r="405" spans="1:12" ht="17.100000000000001" customHeight="1" x14ac:dyDescent="0.2">
      <c r="A405" s="29" t="s">
        <v>588</v>
      </c>
      <c r="B405" s="30" t="s">
        <v>528</v>
      </c>
      <c r="C405" s="30" t="s">
        <v>67</v>
      </c>
      <c r="D405" s="3" t="s">
        <v>482</v>
      </c>
      <c r="E405" s="31" t="s">
        <v>483</v>
      </c>
      <c r="F405" s="18"/>
      <c r="G405" s="17"/>
      <c r="H405" s="17"/>
      <c r="I405" s="40">
        <v>500000</v>
      </c>
      <c r="J405" s="39">
        <f t="shared" si="10"/>
        <v>0</v>
      </c>
      <c r="K405" s="40">
        <v>500000</v>
      </c>
      <c r="L405" s="40">
        <v>500000</v>
      </c>
    </row>
    <row r="406" spans="1:12" ht="27" customHeight="1" x14ac:dyDescent="0.2">
      <c r="A406" s="29" t="s">
        <v>588</v>
      </c>
      <c r="B406" s="30" t="s">
        <v>528</v>
      </c>
      <c r="C406" s="30" t="s">
        <v>69</v>
      </c>
      <c r="D406" s="2"/>
      <c r="E406" s="5" t="s">
        <v>122</v>
      </c>
      <c r="F406" s="18"/>
      <c r="G406" s="17"/>
      <c r="H406" s="17"/>
      <c r="I406" s="40">
        <f>I407</f>
        <v>300000</v>
      </c>
      <c r="J406" s="39">
        <f t="shared" si="10"/>
        <v>0</v>
      </c>
      <c r="K406" s="40">
        <f>K407</f>
        <v>300000</v>
      </c>
      <c r="L406" s="40">
        <f>L407</f>
        <v>300000</v>
      </c>
    </row>
    <row r="407" spans="1:12" ht="17.100000000000001" customHeight="1" x14ac:dyDescent="0.2">
      <c r="A407" s="29" t="s">
        <v>588</v>
      </c>
      <c r="B407" s="30" t="s">
        <v>528</v>
      </c>
      <c r="C407" s="30" t="s">
        <v>69</v>
      </c>
      <c r="D407" s="3" t="s">
        <v>482</v>
      </c>
      <c r="E407" s="31" t="s">
        <v>483</v>
      </c>
      <c r="F407" s="18"/>
      <c r="G407" s="17"/>
      <c r="H407" s="17"/>
      <c r="I407" s="40">
        <v>300000</v>
      </c>
      <c r="J407" s="39">
        <f t="shared" si="10"/>
        <v>0</v>
      </c>
      <c r="K407" s="40">
        <v>300000</v>
      </c>
      <c r="L407" s="40">
        <v>300000</v>
      </c>
    </row>
    <row r="408" spans="1:12" ht="21" hidden="1" x14ac:dyDescent="0.2">
      <c r="A408" s="3" t="s">
        <v>588</v>
      </c>
      <c r="B408" s="3" t="s">
        <v>528</v>
      </c>
      <c r="C408" s="3" t="s">
        <v>166</v>
      </c>
      <c r="D408" s="2"/>
      <c r="E408" s="31" t="s">
        <v>231</v>
      </c>
      <c r="F408" s="16">
        <f>F409</f>
        <v>3581403</v>
      </c>
      <c r="G408" s="19">
        <f>G409</f>
        <v>0</v>
      </c>
      <c r="H408" s="19">
        <f>H409</f>
        <v>0</v>
      </c>
      <c r="I408" s="41">
        <f>I409</f>
        <v>0</v>
      </c>
      <c r="J408" s="39">
        <f t="shared" si="10"/>
        <v>0</v>
      </c>
      <c r="K408" s="41">
        <f>K409</f>
        <v>0</v>
      </c>
      <c r="L408" s="41">
        <f>L409</f>
        <v>0</v>
      </c>
    </row>
    <row r="409" spans="1:12" ht="17.100000000000001" hidden="1" customHeight="1" x14ac:dyDescent="0.2">
      <c r="A409" s="3" t="s">
        <v>588</v>
      </c>
      <c r="B409" s="3" t="s">
        <v>528</v>
      </c>
      <c r="C409" s="3" t="s">
        <v>166</v>
      </c>
      <c r="D409" s="3" t="s">
        <v>482</v>
      </c>
      <c r="E409" s="31" t="s">
        <v>483</v>
      </c>
      <c r="F409" s="16">
        <v>3581403</v>
      </c>
      <c r="G409" s="17"/>
      <c r="H409" s="17"/>
      <c r="I409" s="40"/>
      <c r="J409" s="39">
        <f t="shared" si="10"/>
        <v>0</v>
      </c>
      <c r="K409" s="40"/>
      <c r="L409" s="40"/>
    </row>
    <row r="410" spans="1:12" ht="25.5" hidden="1" customHeight="1" x14ac:dyDescent="0.2">
      <c r="A410" s="3" t="s">
        <v>588</v>
      </c>
      <c r="B410" s="3" t="s">
        <v>528</v>
      </c>
      <c r="C410" s="3" t="s">
        <v>164</v>
      </c>
      <c r="D410" s="3"/>
      <c r="E410" s="5" t="s">
        <v>223</v>
      </c>
      <c r="F410" s="16"/>
      <c r="G410" s="17"/>
      <c r="H410" s="17"/>
      <c r="I410" s="40">
        <f>I411</f>
        <v>0</v>
      </c>
      <c r="J410" s="39">
        <f t="shared" si="10"/>
        <v>0</v>
      </c>
      <c r="K410" s="40">
        <f>K411</f>
        <v>0</v>
      </c>
      <c r="L410" s="40">
        <f>L411</f>
        <v>0</v>
      </c>
    </row>
    <row r="411" spans="1:12" ht="17.100000000000001" hidden="1" customHeight="1" x14ac:dyDescent="0.2">
      <c r="A411" s="3" t="s">
        <v>588</v>
      </c>
      <c r="B411" s="3" t="s">
        <v>528</v>
      </c>
      <c r="C411" s="3" t="s">
        <v>164</v>
      </c>
      <c r="D411" s="3" t="s">
        <v>482</v>
      </c>
      <c r="E411" s="5" t="s">
        <v>483</v>
      </c>
      <c r="F411" s="16"/>
      <c r="G411" s="17"/>
      <c r="H411" s="17"/>
      <c r="I411" s="40"/>
      <c r="J411" s="39">
        <f t="shared" si="10"/>
        <v>0</v>
      </c>
      <c r="K411" s="40"/>
      <c r="L411" s="40"/>
    </row>
    <row r="412" spans="1:12" ht="25.5" customHeight="1" x14ac:dyDescent="0.2">
      <c r="A412" s="3" t="s">
        <v>588</v>
      </c>
      <c r="B412" s="3" t="s">
        <v>528</v>
      </c>
      <c r="C412" s="3" t="s">
        <v>598</v>
      </c>
      <c r="D412" s="2"/>
      <c r="E412" s="5" t="s">
        <v>240</v>
      </c>
      <c r="F412" s="16">
        <f>F413</f>
        <v>600000</v>
      </c>
      <c r="G412" s="19">
        <f>G413</f>
        <v>0</v>
      </c>
      <c r="H412" s="19">
        <f>H413</f>
        <v>0</v>
      </c>
      <c r="I412" s="41">
        <f>I413</f>
        <v>300000</v>
      </c>
      <c r="J412" s="39">
        <f t="shared" si="10"/>
        <v>0</v>
      </c>
      <c r="K412" s="41">
        <f>K413</f>
        <v>300000</v>
      </c>
      <c r="L412" s="41">
        <f>L413</f>
        <v>300000</v>
      </c>
    </row>
    <row r="413" spans="1:12" ht="17.100000000000001" customHeight="1" x14ac:dyDescent="0.2">
      <c r="A413" s="3" t="s">
        <v>588</v>
      </c>
      <c r="B413" s="3" t="s">
        <v>528</v>
      </c>
      <c r="C413" s="3" t="s">
        <v>598</v>
      </c>
      <c r="D413" s="3" t="s">
        <v>482</v>
      </c>
      <c r="E413" s="5" t="s">
        <v>483</v>
      </c>
      <c r="F413" s="16">
        <v>600000</v>
      </c>
      <c r="G413" s="17"/>
      <c r="H413" s="17"/>
      <c r="I413" s="40">
        <v>300000</v>
      </c>
      <c r="J413" s="39">
        <f t="shared" si="10"/>
        <v>0</v>
      </c>
      <c r="K413" s="40">
        <v>300000</v>
      </c>
      <c r="L413" s="40">
        <v>300000</v>
      </c>
    </row>
    <row r="414" spans="1:12" ht="22.5" customHeight="1" x14ac:dyDescent="0.2">
      <c r="A414" s="29" t="s">
        <v>588</v>
      </c>
      <c r="B414" s="30" t="s">
        <v>528</v>
      </c>
      <c r="C414" s="30" t="s">
        <v>123</v>
      </c>
      <c r="D414" s="2"/>
      <c r="E414" s="5" t="s">
        <v>103</v>
      </c>
      <c r="F414" s="16"/>
      <c r="G414" s="17"/>
      <c r="H414" s="17"/>
      <c r="I414" s="40">
        <f>I415</f>
        <v>1784000</v>
      </c>
      <c r="J414" s="39">
        <f t="shared" si="10"/>
        <v>-721608</v>
      </c>
      <c r="K414" s="40">
        <f>K415</f>
        <v>1062392</v>
      </c>
      <c r="L414" s="40">
        <f>L415</f>
        <v>1062392</v>
      </c>
    </row>
    <row r="415" spans="1:12" ht="17.100000000000001" customHeight="1" x14ac:dyDescent="0.2">
      <c r="A415" s="29" t="s">
        <v>588</v>
      </c>
      <c r="B415" s="30" t="s">
        <v>528</v>
      </c>
      <c r="C415" s="30" t="s">
        <v>123</v>
      </c>
      <c r="D415" s="3" t="s">
        <v>482</v>
      </c>
      <c r="E415" s="31" t="s">
        <v>483</v>
      </c>
      <c r="F415" s="16"/>
      <c r="G415" s="17"/>
      <c r="H415" s="17"/>
      <c r="I415" s="40">
        <v>1784000</v>
      </c>
      <c r="J415" s="39">
        <f t="shared" si="10"/>
        <v>-721608</v>
      </c>
      <c r="K415" s="40">
        <v>1062392</v>
      </c>
      <c r="L415" s="40">
        <v>1062392</v>
      </c>
    </row>
    <row r="416" spans="1:12" ht="18" customHeight="1" x14ac:dyDescent="0.2">
      <c r="A416" s="3" t="s">
        <v>588</v>
      </c>
      <c r="B416" s="3" t="s">
        <v>528</v>
      </c>
      <c r="C416" s="3" t="s">
        <v>530</v>
      </c>
      <c r="D416" s="2"/>
      <c r="E416" s="5" t="s">
        <v>531</v>
      </c>
      <c r="F416" s="22">
        <f>F417</f>
        <v>6558268</v>
      </c>
      <c r="G416" s="19">
        <f>G417</f>
        <v>636000</v>
      </c>
      <c r="H416" s="19">
        <f>H417</f>
        <v>7406575</v>
      </c>
      <c r="I416" s="41">
        <f>I417</f>
        <v>2945988</v>
      </c>
      <c r="J416" s="39">
        <f t="shared" si="10"/>
        <v>0</v>
      </c>
      <c r="K416" s="41">
        <f>K417</f>
        <v>2945988</v>
      </c>
      <c r="L416" s="41">
        <f>L417</f>
        <v>2945988</v>
      </c>
    </row>
    <row r="417" spans="1:12" ht="17.100000000000001" customHeight="1" x14ac:dyDescent="0.2">
      <c r="A417" s="3" t="s">
        <v>588</v>
      </c>
      <c r="B417" s="3" t="s">
        <v>528</v>
      </c>
      <c r="C417" s="3" t="s">
        <v>530</v>
      </c>
      <c r="D417" s="3" t="s">
        <v>482</v>
      </c>
      <c r="E417" s="5" t="s">
        <v>483</v>
      </c>
      <c r="F417" s="22">
        <v>6558268</v>
      </c>
      <c r="G417" s="17">
        <v>636000</v>
      </c>
      <c r="H417" s="17">
        <v>7406575</v>
      </c>
      <c r="I417" s="40">
        <v>2945988</v>
      </c>
      <c r="J417" s="39">
        <f t="shared" si="10"/>
        <v>0</v>
      </c>
      <c r="K417" s="40">
        <v>2945988</v>
      </c>
      <c r="L417" s="40">
        <v>2945988</v>
      </c>
    </row>
    <row r="418" spans="1:12" ht="25.5" customHeight="1" x14ac:dyDescent="0.2">
      <c r="A418" s="29" t="s">
        <v>588</v>
      </c>
      <c r="B418" s="30" t="s">
        <v>528</v>
      </c>
      <c r="C418" s="30" t="s">
        <v>124</v>
      </c>
      <c r="D418" s="2"/>
      <c r="E418" s="5" t="s">
        <v>241</v>
      </c>
      <c r="F418" s="22"/>
      <c r="G418" s="17"/>
      <c r="H418" s="17"/>
      <c r="I418" s="40">
        <f>I419</f>
        <v>2680574</v>
      </c>
      <c r="J418" s="39">
        <f t="shared" si="10"/>
        <v>0</v>
      </c>
      <c r="K418" s="40">
        <f>K419</f>
        <v>2680574</v>
      </c>
      <c r="L418" s="40">
        <f>L419</f>
        <v>2680574</v>
      </c>
    </row>
    <row r="419" spans="1:12" ht="17.100000000000001" customHeight="1" x14ac:dyDescent="0.2">
      <c r="A419" s="29" t="s">
        <v>588</v>
      </c>
      <c r="B419" s="30" t="s">
        <v>528</v>
      </c>
      <c r="C419" s="30" t="s">
        <v>124</v>
      </c>
      <c r="D419" s="3" t="s">
        <v>482</v>
      </c>
      <c r="E419" s="31" t="s">
        <v>483</v>
      </c>
      <c r="F419" s="22"/>
      <c r="G419" s="17"/>
      <c r="H419" s="17"/>
      <c r="I419" s="40">
        <v>2680574</v>
      </c>
      <c r="J419" s="39">
        <f t="shared" si="10"/>
        <v>0</v>
      </c>
      <c r="K419" s="40">
        <v>2680574</v>
      </c>
      <c r="L419" s="40">
        <v>2680574</v>
      </c>
    </row>
    <row r="420" spans="1:12" ht="42" x14ac:dyDescent="0.2">
      <c r="A420" s="29" t="s">
        <v>588</v>
      </c>
      <c r="B420" s="30" t="s">
        <v>528</v>
      </c>
      <c r="C420" s="30" t="s">
        <v>135</v>
      </c>
      <c r="D420" s="3"/>
      <c r="E420" s="5" t="s">
        <v>242</v>
      </c>
      <c r="F420" s="22"/>
      <c r="G420" s="17"/>
      <c r="H420" s="17"/>
      <c r="I420" s="40">
        <f>I421</f>
        <v>0</v>
      </c>
      <c r="J420" s="39">
        <f t="shared" si="10"/>
        <v>600000</v>
      </c>
      <c r="K420" s="40">
        <f>K421</f>
        <v>600000</v>
      </c>
      <c r="L420" s="40">
        <f>L421</f>
        <v>600000</v>
      </c>
    </row>
    <row r="421" spans="1:12" ht="17.100000000000001" customHeight="1" x14ac:dyDescent="0.2">
      <c r="A421" s="29" t="s">
        <v>588</v>
      </c>
      <c r="B421" s="30" t="s">
        <v>528</v>
      </c>
      <c r="C421" s="30" t="s">
        <v>135</v>
      </c>
      <c r="D421" s="3" t="s">
        <v>624</v>
      </c>
      <c r="E421" s="31" t="s">
        <v>625</v>
      </c>
      <c r="F421" s="22"/>
      <c r="G421" s="17"/>
      <c r="H421" s="17"/>
      <c r="I421" s="40">
        <v>0</v>
      </c>
      <c r="J421" s="39">
        <f t="shared" si="10"/>
        <v>600000</v>
      </c>
      <c r="K421" s="40">
        <v>600000</v>
      </c>
      <c r="L421" s="40">
        <v>600000</v>
      </c>
    </row>
    <row r="422" spans="1:12" ht="17.25" customHeight="1" x14ac:dyDescent="0.2">
      <c r="A422" s="3" t="s">
        <v>588</v>
      </c>
      <c r="B422" s="3" t="s">
        <v>528</v>
      </c>
      <c r="C422" s="3" t="s">
        <v>572</v>
      </c>
      <c r="D422" s="2"/>
      <c r="E422" s="5" t="s">
        <v>89</v>
      </c>
      <c r="F422" s="18">
        <f>F423</f>
        <v>392257</v>
      </c>
      <c r="G422" s="19">
        <f>G423</f>
        <v>507590</v>
      </c>
      <c r="H422" s="19">
        <f>H423</f>
        <v>0</v>
      </c>
      <c r="I422" s="41">
        <f>I423</f>
        <v>195000</v>
      </c>
      <c r="J422" s="39">
        <f t="shared" si="10"/>
        <v>-141125</v>
      </c>
      <c r="K422" s="41">
        <f>K423</f>
        <v>53875</v>
      </c>
      <c r="L422" s="41">
        <f>L423</f>
        <v>53875</v>
      </c>
    </row>
    <row r="423" spans="1:12" ht="17.100000000000001" customHeight="1" x14ac:dyDescent="0.2">
      <c r="A423" s="3" t="s">
        <v>588</v>
      </c>
      <c r="B423" s="3" t="s">
        <v>528</v>
      </c>
      <c r="C423" s="3" t="s">
        <v>572</v>
      </c>
      <c r="D423" s="3" t="s">
        <v>482</v>
      </c>
      <c r="E423" s="5" t="s">
        <v>483</v>
      </c>
      <c r="F423" s="18">
        <v>392257</v>
      </c>
      <c r="G423" s="17">
        <v>507590</v>
      </c>
      <c r="H423" s="17"/>
      <c r="I423" s="40">
        <v>195000</v>
      </c>
      <c r="J423" s="39">
        <f t="shared" si="10"/>
        <v>-141125</v>
      </c>
      <c r="K423" s="40">
        <v>53875</v>
      </c>
      <c r="L423" s="40">
        <v>53875</v>
      </c>
    </row>
    <row r="424" spans="1:12" ht="24" hidden="1" customHeight="1" x14ac:dyDescent="0.2">
      <c r="A424" s="3" t="s">
        <v>588</v>
      </c>
      <c r="B424" s="3" t="s">
        <v>528</v>
      </c>
      <c r="C424" s="3" t="s">
        <v>532</v>
      </c>
      <c r="D424" s="2"/>
      <c r="E424" s="5" t="s">
        <v>533</v>
      </c>
      <c r="F424" s="16">
        <f>F425</f>
        <v>67410</v>
      </c>
      <c r="G424" s="19">
        <f>G425</f>
        <v>0</v>
      </c>
      <c r="H424" s="19">
        <f>H425</f>
        <v>0</v>
      </c>
      <c r="I424" s="41">
        <f>I425</f>
        <v>0</v>
      </c>
      <c r="J424" s="39">
        <f t="shared" si="10"/>
        <v>0</v>
      </c>
      <c r="K424" s="41">
        <f>K425</f>
        <v>0</v>
      </c>
      <c r="L424" s="41">
        <f>L425</f>
        <v>0</v>
      </c>
    </row>
    <row r="425" spans="1:12" ht="17.100000000000001" hidden="1" customHeight="1" x14ac:dyDescent="0.2">
      <c r="A425" s="3" t="s">
        <v>588</v>
      </c>
      <c r="B425" s="3" t="s">
        <v>528</v>
      </c>
      <c r="C425" s="3" t="s">
        <v>532</v>
      </c>
      <c r="D425" s="3" t="s">
        <v>482</v>
      </c>
      <c r="E425" s="5" t="s">
        <v>483</v>
      </c>
      <c r="F425" s="16">
        <v>67410</v>
      </c>
      <c r="G425" s="17"/>
      <c r="H425" s="17"/>
      <c r="I425" s="40">
        <v>0</v>
      </c>
      <c r="J425" s="39">
        <f t="shared" si="10"/>
        <v>0</v>
      </c>
      <c r="K425" s="40">
        <v>0</v>
      </c>
      <c r="L425" s="40">
        <v>0</v>
      </c>
    </row>
    <row r="426" spans="1:12" ht="25.5" customHeight="1" x14ac:dyDescent="0.2">
      <c r="A426" s="29" t="s">
        <v>588</v>
      </c>
      <c r="B426" s="30" t="s">
        <v>528</v>
      </c>
      <c r="C426" s="30" t="s">
        <v>107</v>
      </c>
      <c r="D426" s="2"/>
      <c r="E426" s="31" t="s">
        <v>103</v>
      </c>
      <c r="F426" s="16"/>
      <c r="G426" s="17"/>
      <c r="H426" s="17"/>
      <c r="I426" s="40">
        <f>I427</f>
        <v>28350</v>
      </c>
      <c r="J426" s="39">
        <f t="shared" si="10"/>
        <v>-14066</v>
      </c>
      <c r="K426" s="40">
        <f>K427</f>
        <v>14284</v>
      </c>
      <c r="L426" s="40">
        <f>L427</f>
        <v>14284</v>
      </c>
    </row>
    <row r="427" spans="1:12" ht="17.100000000000001" customHeight="1" x14ac:dyDescent="0.2">
      <c r="A427" s="29" t="s">
        <v>588</v>
      </c>
      <c r="B427" s="30" t="s">
        <v>528</v>
      </c>
      <c r="C427" s="30" t="s">
        <v>107</v>
      </c>
      <c r="D427" s="3" t="s">
        <v>482</v>
      </c>
      <c r="E427" s="31" t="s">
        <v>483</v>
      </c>
      <c r="F427" s="16"/>
      <c r="G427" s="17"/>
      <c r="H427" s="17"/>
      <c r="I427" s="40">
        <v>28350</v>
      </c>
      <c r="J427" s="39">
        <f t="shared" si="10"/>
        <v>-14066</v>
      </c>
      <c r="K427" s="40">
        <v>14284</v>
      </c>
      <c r="L427" s="40">
        <v>14284</v>
      </c>
    </row>
    <row r="428" spans="1:12" ht="28.5" hidden="1" customHeight="1" x14ac:dyDescent="0.2">
      <c r="A428" s="29" t="s">
        <v>588</v>
      </c>
      <c r="B428" s="30" t="s">
        <v>528</v>
      </c>
      <c r="C428" s="30" t="s">
        <v>130</v>
      </c>
      <c r="D428" s="3"/>
      <c r="E428" s="31" t="s">
        <v>247</v>
      </c>
      <c r="F428" s="16"/>
      <c r="G428" s="17"/>
      <c r="H428" s="17"/>
      <c r="I428" s="40">
        <f>I429</f>
        <v>0</v>
      </c>
      <c r="J428" s="39">
        <f t="shared" si="10"/>
        <v>0</v>
      </c>
      <c r="K428" s="40">
        <f>K429</f>
        <v>0</v>
      </c>
      <c r="L428" s="40">
        <f>L429</f>
        <v>0</v>
      </c>
    </row>
    <row r="429" spans="1:12" ht="17.100000000000001" hidden="1" customHeight="1" x14ac:dyDescent="0.2">
      <c r="A429" s="29" t="s">
        <v>588</v>
      </c>
      <c r="B429" s="30" t="s">
        <v>528</v>
      </c>
      <c r="C429" s="30" t="s">
        <v>130</v>
      </c>
      <c r="D429" s="3" t="s">
        <v>482</v>
      </c>
      <c r="E429" s="31" t="s">
        <v>483</v>
      </c>
      <c r="F429" s="16"/>
      <c r="G429" s="17"/>
      <c r="H429" s="17"/>
      <c r="I429" s="40"/>
      <c r="J429" s="39">
        <f t="shared" si="10"/>
        <v>0</v>
      </c>
      <c r="K429" s="40"/>
      <c r="L429" s="40"/>
    </row>
    <row r="430" spans="1:12" ht="17.100000000000001" hidden="1" customHeight="1" x14ac:dyDescent="0.2">
      <c r="A430" s="29" t="s">
        <v>588</v>
      </c>
      <c r="B430" s="30" t="s">
        <v>528</v>
      </c>
      <c r="C430" s="30" t="s">
        <v>320</v>
      </c>
      <c r="D430" s="3"/>
      <c r="E430" s="45"/>
      <c r="F430" s="16"/>
      <c r="G430" s="17"/>
      <c r="H430" s="17"/>
      <c r="I430" s="40">
        <f>I431</f>
        <v>0</v>
      </c>
      <c r="J430" s="39">
        <f t="shared" si="10"/>
        <v>0</v>
      </c>
      <c r="K430" s="40">
        <f>K431</f>
        <v>0</v>
      </c>
      <c r="L430" s="40">
        <f>L431</f>
        <v>0</v>
      </c>
    </row>
    <row r="431" spans="1:12" ht="17.100000000000001" hidden="1" customHeight="1" x14ac:dyDescent="0.2">
      <c r="A431" s="29" t="s">
        <v>588</v>
      </c>
      <c r="B431" s="30" t="s">
        <v>528</v>
      </c>
      <c r="C431" s="30" t="s">
        <v>320</v>
      </c>
      <c r="D431" s="3" t="s">
        <v>482</v>
      </c>
      <c r="E431" s="45"/>
      <c r="F431" s="16"/>
      <c r="G431" s="17"/>
      <c r="H431" s="17"/>
      <c r="I431" s="40">
        <v>0</v>
      </c>
      <c r="J431" s="39">
        <f t="shared" si="10"/>
        <v>0</v>
      </c>
      <c r="K431" s="40">
        <v>0</v>
      </c>
      <c r="L431" s="40">
        <v>0</v>
      </c>
    </row>
    <row r="432" spans="1:12" ht="16.5" hidden="1" customHeight="1" x14ac:dyDescent="0.2">
      <c r="A432" s="3" t="s">
        <v>588</v>
      </c>
      <c r="B432" s="3" t="s">
        <v>528</v>
      </c>
      <c r="C432" s="3" t="s">
        <v>599</v>
      </c>
      <c r="D432" s="2"/>
      <c r="E432" s="5" t="s">
        <v>600</v>
      </c>
      <c r="F432" s="18">
        <f>F433</f>
        <v>0</v>
      </c>
      <c r="G432" s="19">
        <f>G433</f>
        <v>3255700</v>
      </c>
      <c r="H432" s="19">
        <f>H433</f>
        <v>0</v>
      </c>
      <c r="I432" s="41">
        <f>I433</f>
        <v>0</v>
      </c>
      <c r="J432" s="39">
        <f t="shared" si="10"/>
        <v>0</v>
      </c>
      <c r="K432" s="41">
        <f>K433</f>
        <v>0</v>
      </c>
      <c r="L432" s="41">
        <f>L433</f>
        <v>0</v>
      </c>
    </row>
    <row r="433" spans="1:12" ht="17.100000000000001" hidden="1" customHeight="1" x14ac:dyDescent="0.2">
      <c r="A433" s="3" t="s">
        <v>588</v>
      </c>
      <c r="B433" s="3" t="s">
        <v>528</v>
      </c>
      <c r="C433" s="3" t="s">
        <v>599</v>
      </c>
      <c r="D433" s="3" t="s">
        <v>482</v>
      </c>
      <c r="E433" s="5" t="s">
        <v>483</v>
      </c>
      <c r="F433" s="18">
        <v>0</v>
      </c>
      <c r="G433" s="17">
        <v>3255700</v>
      </c>
      <c r="H433" s="17"/>
      <c r="I433" s="40"/>
      <c r="J433" s="39">
        <f t="shared" si="10"/>
        <v>0</v>
      </c>
      <c r="K433" s="40"/>
      <c r="L433" s="40"/>
    </row>
    <row r="434" spans="1:12" ht="33.75" customHeight="1" x14ac:dyDescent="0.2">
      <c r="A434" s="29" t="s">
        <v>588</v>
      </c>
      <c r="B434" s="30" t="s">
        <v>528</v>
      </c>
      <c r="C434" s="30" t="s">
        <v>125</v>
      </c>
      <c r="D434" s="2"/>
      <c r="E434" s="5" t="s">
        <v>243</v>
      </c>
      <c r="F434" s="18"/>
      <c r="G434" s="17"/>
      <c r="H434" s="17"/>
      <c r="I434" s="40">
        <f>I435</f>
        <v>0</v>
      </c>
      <c r="J434" s="39">
        <f t="shared" si="10"/>
        <v>0</v>
      </c>
      <c r="K434" s="40">
        <f>K435</f>
        <v>0</v>
      </c>
      <c r="L434" s="40">
        <f>L435</f>
        <v>0</v>
      </c>
    </row>
    <row r="435" spans="1:12" ht="17.100000000000001" customHeight="1" x14ac:dyDescent="0.2">
      <c r="A435" s="29" t="s">
        <v>588</v>
      </c>
      <c r="B435" s="30" t="s">
        <v>528</v>
      </c>
      <c r="C435" s="30" t="s">
        <v>125</v>
      </c>
      <c r="D435" s="3" t="s">
        <v>482</v>
      </c>
      <c r="E435" s="5" t="s">
        <v>483</v>
      </c>
      <c r="F435" s="18"/>
      <c r="G435" s="17"/>
      <c r="H435" s="17"/>
      <c r="I435" s="40">
        <v>0</v>
      </c>
      <c r="J435" s="39">
        <f t="shared" si="10"/>
        <v>0</v>
      </c>
      <c r="K435" s="40">
        <v>0</v>
      </c>
      <c r="L435" s="40">
        <v>0</v>
      </c>
    </row>
    <row r="436" spans="1:12" ht="34.5" hidden="1" customHeight="1" x14ac:dyDescent="0.2">
      <c r="A436" s="29" t="s">
        <v>588</v>
      </c>
      <c r="B436" s="30" t="s">
        <v>528</v>
      </c>
      <c r="C436" s="30" t="s">
        <v>125</v>
      </c>
      <c r="D436" s="2"/>
      <c r="E436" s="5" t="s">
        <v>243</v>
      </c>
      <c r="F436" s="18"/>
      <c r="G436" s="17"/>
      <c r="H436" s="17"/>
      <c r="I436" s="40">
        <f>I437</f>
        <v>0</v>
      </c>
      <c r="J436" s="39">
        <f t="shared" si="10"/>
        <v>0</v>
      </c>
      <c r="K436" s="40">
        <f>K437</f>
        <v>0</v>
      </c>
      <c r="L436" s="40">
        <f>L437</f>
        <v>0</v>
      </c>
    </row>
    <row r="437" spans="1:12" ht="17.100000000000001" hidden="1" customHeight="1" x14ac:dyDescent="0.2">
      <c r="A437" s="29" t="s">
        <v>588</v>
      </c>
      <c r="B437" s="30" t="s">
        <v>528</v>
      </c>
      <c r="C437" s="30" t="s">
        <v>125</v>
      </c>
      <c r="D437" s="3" t="s">
        <v>464</v>
      </c>
      <c r="E437" s="31" t="s">
        <v>465</v>
      </c>
      <c r="F437" s="18"/>
      <c r="G437" s="17"/>
      <c r="H437" s="17"/>
      <c r="I437" s="40">
        <v>0</v>
      </c>
      <c r="J437" s="39">
        <f t="shared" si="10"/>
        <v>0</v>
      </c>
      <c r="K437" s="40">
        <v>0</v>
      </c>
      <c r="L437" s="40">
        <v>0</v>
      </c>
    </row>
    <row r="438" spans="1:12" ht="29.25" customHeight="1" x14ac:dyDescent="0.2">
      <c r="A438" s="29" t="s">
        <v>588</v>
      </c>
      <c r="B438" s="30" t="s">
        <v>528</v>
      </c>
      <c r="C438" s="30" t="s">
        <v>379</v>
      </c>
      <c r="D438" s="3"/>
      <c r="E438" s="59" t="s">
        <v>402</v>
      </c>
      <c r="F438" s="18"/>
      <c r="G438" s="17"/>
      <c r="H438" s="17"/>
      <c r="I438" s="40">
        <f>I439</f>
        <v>0</v>
      </c>
      <c r="J438" s="39">
        <f t="shared" si="10"/>
        <v>0</v>
      </c>
      <c r="K438" s="40">
        <f>K439</f>
        <v>0</v>
      </c>
      <c r="L438" s="40">
        <f>L439</f>
        <v>0</v>
      </c>
    </row>
    <row r="439" spans="1:12" ht="17.100000000000001" customHeight="1" x14ac:dyDescent="0.2">
      <c r="A439" s="29" t="s">
        <v>588</v>
      </c>
      <c r="B439" s="30" t="s">
        <v>528</v>
      </c>
      <c r="C439" s="30" t="s">
        <v>379</v>
      </c>
      <c r="D439" s="3" t="s">
        <v>482</v>
      </c>
      <c r="E439" s="5" t="s">
        <v>483</v>
      </c>
      <c r="F439" s="18"/>
      <c r="G439" s="17"/>
      <c r="H439" s="17"/>
      <c r="I439" s="40">
        <v>0</v>
      </c>
      <c r="J439" s="39">
        <f t="shared" si="10"/>
        <v>0</v>
      </c>
      <c r="K439" s="40">
        <v>0</v>
      </c>
      <c r="L439" s="40">
        <v>0</v>
      </c>
    </row>
    <row r="440" spans="1:12" ht="35.25" customHeight="1" x14ac:dyDescent="0.2">
      <c r="A440" s="29" t="s">
        <v>588</v>
      </c>
      <c r="B440" s="30" t="s">
        <v>528</v>
      </c>
      <c r="C440" s="30" t="s">
        <v>126</v>
      </c>
      <c r="D440" s="2"/>
      <c r="E440" s="5" t="s">
        <v>244</v>
      </c>
      <c r="F440" s="18"/>
      <c r="G440" s="17"/>
      <c r="H440" s="17"/>
      <c r="I440" s="40">
        <f>I441</f>
        <v>0</v>
      </c>
      <c r="J440" s="39">
        <f t="shared" si="10"/>
        <v>0</v>
      </c>
      <c r="K440" s="40">
        <f>K441</f>
        <v>0</v>
      </c>
      <c r="L440" s="40">
        <f>L441</f>
        <v>0</v>
      </c>
    </row>
    <row r="441" spans="1:12" ht="17.100000000000001" customHeight="1" x14ac:dyDescent="0.2">
      <c r="A441" s="29" t="s">
        <v>588</v>
      </c>
      <c r="B441" s="30" t="s">
        <v>528</v>
      </c>
      <c r="C441" s="30" t="s">
        <v>126</v>
      </c>
      <c r="D441" s="3" t="s">
        <v>482</v>
      </c>
      <c r="E441" s="5" t="s">
        <v>483</v>
      </c>
      <c r="F441" s="18"/>
      <c r="G441" s="17"/>
      <c r="H441" s="17"/>
      <c r="I441" s="40">
        <v>0</v>
      </c>
      <c r="J441" s="39">
        <f t="shared" si="10"/>
        <v>0</v>
      </c>
      <c r="K441" s="40">
        <v>0</v>
      </c>
      <c r="L441" s="40">
        <v>0</v>
      </c>
    </row>
    <row r="442" spans="1:12" ht="36" customHeight="1" x14ac:dyDescent="0.2">
      <c r="A442" s="29" t="s">
        <v>588</v>
      </c>
      <c r="B442" s="30" t="s">
        <v>528</v>
      </c>
      <c r="C442" s="30" t="s">
        <v>126</v>
      </c>
      <c r="D442" s="2"/>
      <c r="E442" s="5" t="s">
        <v>244</v>
      </c>
      <c r="F442" s="18"/>
      <c r="G442" s="17"/>
      <c r="H442" s="17"/>
      <c r="I442" s="40">
        <f>I443</f>
        <v>2311300</v>
      </c>
      <c r="J442" s="39">
        <f t="shared" si="10"/>
        <v>-2311300</v>
      </c>
      <c r="K442" s="40">
        <f>K443</f>
        <v>0</v>
      </c>
      <c r="L442" s="40">
        <f>L443</f>
        <v>0</v>
      </c>
    </row>
    <row r="443" spans="1:12" ht="17.100000000000001" customHeight="1" x14ac:dyDescent="0.2">
      <c r="A443" s="29" t="s">
        <v>588</v>
      </c>
      <c r="B443" s="30" t="s">
        <v>528</v>
      </c>
      <c r="C443" s="30" t="s">
        <v>126</v>
      </c>
      <c r="D443" s="3" t="s">
        <v>464</v>
      </c>
      <c r="E443" s="31" t="s">
        <v>465</v>
      </c>
      <c r="F443" s="18"/>
      <c r="G443" s="17"/>
      <c r="H443" s="17"/>
      <c r="I443" s="40">
        <v>2311300</v>
      </c>
      <c r="J443" s="39">
        <f t="shared" si="10"/>
        <v>-2311300</v>
      </c>
      <c r="K443" s="40">
        <v>0</v>
      </c>
      <c r="L443" s="40">
        <v>0</v>
      </c>
    </row>
    <row r="444" spans="1:12" ht="33" customHeight="1" x14ac:dyDescent="0.2">
      <c r="A444" s="29" t="s">
        <v>588</v>
      </c>
      <c r="B444" s="30" t="s">
        <v>528</v>
      </c>
      <c r="C444" s="30" t="s">
        <v>127</v>
      </c>
      <c r="D444" s="2"/>
      <c r="E444" s="5" t="s">
        <v>128</v>
      </c>
      <c r="F444" s="18"/>
      <c r="G444" s="17"/>
      <c r="H444" s="17"/>
      <c r="I444" s="40">
        <f>I445</f>
        <v>0</v>
      </c>
      <c r="J444" s="39">
        <f t="shared" si="10"/>
        <v>580000</v>
      </c>
      <c r="K444" s="40">
        <f>K445</f>
        <v>580000</v>
      </c>
      <c r="L444" s="40">
        <f>L445</f>
        <v>580000</v>
      </c>
    </row>
    <row r="445" spans="1:12" ht="17.100000000000001" customHeight="1" x14ac:dyDescent="0.2">
      <c r="A445" s="29" t="s">
        <v>588</v>
      </c>
      <c r="B445" s="30" t="s">
        <v>528</v>
      </c>
      <c r="C445" s="30" t="s">
        <v>127</v>
      </c>
      <c r="D445" s="3" t="s">
        <v>482</v>
      </c>
      <c r="E445" s="5" t="s">
        <v>483</v>
      </c>
      <c r="F445" s="18"/>
      <c r="G445" s="17"/>
      <c r="H445" s="17"/>
      <c r="I445" s="40">
        <v>0</v>
      </c>
      <c r="J445" s="39">
        <f t="shared" si="10"/>
        <v>580000</v>
      </c>
      <c r="K445" s="40">
        <v>580000</v>
      </c>
      <c r="L445" s="40">
        <v>580000</v>
      </c>
    </row>
    <row r="446" spans="1:12" ht="36.75" customHeight="1" x14ac:dyDescent="0.2">
      <c r="A446" s="29" t="s">
        <v>588</v>
      </c>
      <c r="B446" s="30" t="s">
        <v>528</v>
      </c>
      <c r="C446" s="30" t="s">
        <v>127</v>
      </c>
      <c r="D446" s="2"/>
      <c r="E446" s="5" t="s">
        <v>128</v>
      </c>
      <c r="F446" s="18"/>
      <c r="G446" s="17"/>
      <c r="H446" s="17"/>
      <c r="I446" s="40">
        <f>I447</f>
        <v>330000</v>
      </c>
      <c r="J446" s="39">
        <f t="shared" si="10"/>
        <v>-330000</v>
      </c>
      <c r="K446" s="40">
        <f>K447</f>
        <v>0</v>
      </c>
      <c r="L446" s="40">
        <f>L447</f>
        <v>0</v>
      </c>
    </row>
    <row r="447" spans="1:12" ht="17.100000000000001" customHeight="1" x14ac:dyDescent="0.2">
      <c r="A447" s="29" t="s">
        <v>588</v>
      </c>
      <c r="B447" s="30" t="s">
        <v>528</v>
      </c>
      <c r="C447" s="30" t="s">
        <v>127</v>
      </c>
      <c r="D447" s="3" t="s">
        <v>464</v>
      </c>
      <c r="E447" s="31" t="s">
        <v>465</v>
      </c>
      <c r="F447" s="18"/>
      <c r="G447" s="17"/>
      <c r="H447" s="17"/>
      <c r="I447" s="40">
        <v>330000</v>
      </c>
      <c r="J447" s="39">
        <f t="shared" si="10"/>
        <v>-330000</v>
      </c>
      <c r="K447" s="40">
        <v>0</v>
      </c>
      <c r="L447" s="40">
        <v>0</v>
      </c>
    </row>
    <row r="448" spans="1:12" ht="32.25" customHeight="1" x14ac:dyDescent="0.2">
      <c r="A448" s="29" t="s">
        <v>588</v>
      </c>
      <c r="B448" s="30" t="s">
        <v>528</v>
      </c>
      <c r="C448" s="30" t="s">
        <v>129</v>
      </c>
      <c r="D448" s="2"/>
      <c r="E448" s="5" t="s">
        <v>245</v>
      </c>
      <c r="F448" s="18"/>
      <c r="G448" s="17"/>
      <c r="H448" s="17"/>
      <c r="I448" s="40">
        <f>I449</f>
        <v>0</v>
      </c>
      <c r="J448" s="39">
        <f t="shared" si="10"/>
        <v>237000</v>
      </c>
      <c r="K448" s="40">
        <f>K449</f>
        <v>237000</v>
      </c>
      <c r="L448" s="40">
        <f>L449</f>
        <v>0</v>
      </c>
    </row>
    <row r="449" spans="1:12" ht="17.100000000000001" customHeight="1" x14ac:dyDescent="0.2">
      <c r="A449" s="29" t="s">
        <v>588</v>
      </c>
      <c r="B449" s="30" t="s">
        <v>528</v>
      </c>
      <c r="C449" s="30" t="s">
        <v>129</v>
      </c>
      <c r="D449" s="3" t="s">
        <v>482</v>
      </c>
      <c r="E449" s="5" t="s">
        <v>483</v>
      </c>
      <c r="F449" s="18"/>
      <c r="G449" s="17"/>
      <c r="H449" s="17"/>
      <c r="I449" s="40">
        <v>0</v>
      </c>
      <c r="J449" s="39">
        <f t="shared" si="10"/>
        <v>237000</v>
      </c>
      <c r="K449" s="40">
        <v>237000</v>
      </c>
      <c r="L449" s="40">
        <v>0</v>
      </c>
    </row>
    <row r="450" spans="1:12" ht="33.75" customHeight="1" x14ac:dyDescent="0.2">
      <c r="A450" s="29" t="s">
        <v>588</v>
      </c>
      <c r="B450" s="30" t="s">
        <v>528</v>
      </c>
      <c r="C450" s="30" t="s">
        <v>129</v>
      </c>
      <c r="D450" s="2"/>
      <c r="E450" s="5" t="s">
        <v>245</v>
      </c>
      <c r="F450" s="18"/>
      <c r="G450" s="17"/>
      <c r="H450" s="17"/>
      <c r="I450" s="40">
        <f>I451</f>
        <v>70000</v>
      </c>
      <c r="J450" s="39">
        <f t="shared" si="10"/>
        <v>-70000</v>
      </c>
      <c r="K450" s="40">
        <f>K451</f>
        <v>0</v>
      </c>
      <c r="L450" s="40">
        <f>L451</f>
        <v>0</v>
      </c>
    </row>
    <row r="451" spans="1:12" ht="20.25" customHeight="1" x14ac:dyDescent="0.2">
      <c r="A451" s="29" t="s">
        <v>588</v>
      </c>
      <c r="B451" s="30" t="s">
        <v>528</v>
      </c>
      <c r="C451" s="30" t="s">
        <v>129</v>
      </c>
      <c r="D451" s="3" t="s">
        <v>464</v>
      </c>
      <c r="E451" s="31" t="s">
        <v>465</v>
      </c>
      <c r="F451" s="18"/>
      <c r="G451" s="17"/>
      <c r="H451" s="17"/>
      <c r="I451" s="40">
        <v>70000</v>
      </c>
      <c r="J451" s="39">
        <f t="shared" si="10"/>
        <v>-70000</v>
      </c>
      <c r="K451" s="40">
        <v>0</v>
      </c>
      <c r="L451" s="40">
        <v>0</v>
      </c>
    </row>
    <row r="452" spans="1:12" ht="25.5" customHeight="1" x14ac:dyDescent="0.2">
      <c r="A452" s="29" t="s">
        <v>588</v>
      </c>
      <c r="B452" s="30" t="s">
        <v>90</v>
      </c>
      <c r="C452" s="33"/>
      <c r="D452" s="2"/>
      <c r="E452" s="31" t="s">
        <v>94</v>
      </c>
      <c r="F452" s="18"/>
      <c r="G452" s="17"/>
      <c r="H452" s="17"/>
      <c r="I452" s="40">
        <f>I453</f>
        <v>230000</v>
      </c>
      <c r="J452" s="39">
        <f t="shared" si="10"/>
        <v>-230000</v>
      </c>
      <c r="K452" s="40">
        <f>K453</f>
        <v>0</v>
      </c>
      <c r="L452" s="40">
        <f>L453</f>
        <v>0</v>
      </c>
    </row>
    <row r="453" spans="1:12" ht="17.100000000000001" customHeight="1" x14ac:dyDescent="0.2">
      <c r="A453" s="29" t="s">
        <v>588</v>
      </c>
      <c r="B453" s="30" t="s">
        <v>90</v>
      </c>
      <c r="C453" s="30" t="s">
        <v>91</v>
      </c>
      <c r="D453" s="2"/>
      <c r="E453" s="31" t="s">
        <v>95</v>
      </c>
      <c r="F453" s="18"/>
      <c r="G453" s="17"/>
      <c r="H453" s="17"/>
      <c r="I453" s="40">
        <f>I454</f>
        <v>230000</v>
      </c>
      <c r="J453" s="39">
        <f t="shared" si="10"/>
        <v>-230000</v>
      </c>
      <c r="K453" s="40">
        <f>K454</f>
        <v>0</v>
      </c>
      <c r="L453" s="40">
        <f>L454</f>
        <v>0</v>
      </c>
    </row>
    <row r="454" spans="1:12" ht="17.100000000000001" customHeight="1" x14ac:dyDescent="0.2">
      <c r="A454" s="29" t="s">
        <v>588</v>
      </c>
      <c r="B454" s="30" t="s">
        <v>90</v>
      </c>
      <c r="C454" s="30" t="s">
        <v>91</v>
      </c>
      <c r="D454" s="3" t="s">
        <v>482</v>
      </c>
      <c r="E454" s="31" t="s">
        <v>483</v>
      </c>
      <c r="F454" s="18"/>
      <c r="G454" s="17"/>
      <c r="H454" s="17"/>
      <c r="I454" s="40">
        <v>230000</v>
      </c>
      <c r="J454" s="39">
        <f t="shared" si="10"/>
        <v>-230000</v>
      </c>
      <c r="K454" s="40">
        <v>0</v>
      </c>
      <c r="L454" s="40">
        <v>0</v>
      </c>
    </row>
    <row r="455" spans="1:12" ht="17.100000000000001" customHeight="1" x14ac:dyDescent="0.2">
      <c r="A455" s="29" t="s">
        <v>588</v>
      </c>
      <c r="B455" s="30" t="s">
        <v>601</v>
      </c>
      <c r="C455" s="30"/>
      <c r="D455" s="3"/>
      <c r="E455" s="31" t="s">
        <v>602</v>
      </c>
      <c r="F455" s="18"/>
      <c r="G455" s="17"/>
      <c r="H455" s="17"/>
      <c r="I455" s="40">
        <f>I456</f>
        <v>0</v>
      </c>
      <c r="J455" s="39">
        <f t="shared" si="10"/>
        <v>1860000</v>
      </c>
      <c r="K455" s="40">
        <f>K456</f>
        <v>1860000</v>
      </c>
      <c r="L455" s="40">
        <f>L456</f>
        <v>1860000</v>
      </c>
    </row>
    <row r="456" spans="1:12" ht="17.100000000000001" customHeight="1" x14ac:dyDescent="0.2">
      <c r="A456" s="29" t="s">
        <v>588</v>
      </c>
      <c r="B456" s="30" t="s">
        <v>601</v>
      </c>
      <c r="C456" s="30" t="s">
        <v>283</v>
      </c>
      <c r="D456" s="3"/>
      <c r="E456" s="31" t="s">
        <v>295</v>
      </c>
      <c r="F456" s="18"/>
      <c r="G456" s="17"/>
      <c r="H456" s="17"/>
      <c r="I456" s="40">
        <f>I457</f>
        <v>0</v>
      </c>
      <c r="J456" s="39">
        <f t="shared" si="10"/>
        <v>1860000</v>
      </c>
      <c r="K456" s="40">
        <f>K457</f>
        <v>1860000</v>
      </c>
      <c r="L456" s="40">
        <f>L457</f>
        <v>1860000</v>
      </c>
    </row>
    <row r="457" spans="1:12" ht="17.100000000000001" customHeight="1" x14ac:dyDescent="0.2">
      <c r="A457" s="29" t="s">
        <v>588</v>
      </c>
      <c r="B457" s="30" t="s">
        <v>601</v>
      </c>
      <c r="C457" s="30" t="s">
        <v>283</v>
      </c>
      <c r="D457" s="3" t="s">
        <v>482</v>
      </c>
      <c r="E457" s="31" t="s">
        <v>483</v>
      </c>
      <c r="F457" s="18"/>
      <c r="G457" s="17"/>
      <c r="H457" s="17"/>
      <c r="I457" s="40">
        <v>0</v>
      </c>
      <c r="J457" s="39">
        <f t="shared" ref="J457:J519" si="11">K457-I457</f>
        <v>1860000</v>
      </c>
      <c r="K457" s="40">
        <v>1860000</v>
      </c>
      <c r="L457" s="40">
        <v>1860000</v>
      </c>
    </row>
    <row r="458" spans="1:12" ht="17.100000000000001" customHeight="1" x14ac:dyDescent="0.2">
      <c r="A458" s="3" t="s">
        <v>588</v>
      </c>
      <c r="B458" s="3" t="s">
        <v>603</v>
      </c>
      <c r="C458" s="2"/>
      <c r="D458" s="2"/>
      <c r="E458" s="5" t="s">
        <v>604</v>
      </c>
      <c r="F458" s="15">
        <f>F459+F461+F463+F465+F473</f>
        <v>9119136</v>
      </c>
      <c r="G458" s="13">
        <f>G459+G461+G463+G465+G473</f>
        <v>563607</v>
      </c>
      <c r="H458" s="13">
        <f>H459+H461+H463+H465+H473</f>
        <v>7451064</v>
      </c>
      <c r="I458" s="39">
        <f>I459+I461+I463+I465+I473+I467+I469+I471+I475+I477+I481+I479+I483</f>
        <v>10837717.949999999</v>
      </c>
      <c r="J458" s="39">
        <f t="shared" si="11"/>
        <v>2047611.0500000007</v>
      </c>
      <c r="K458" s="39">
        <f>K459+K461+K463+K465+K473+K467+K469+K471+K475+K477+K481+K479+K483</f>
        <v>12885329</v>
      </c>
      <c r="L458" s="39">
        <f>L459+L461+L463+L465+L473+L467+L469+L471+L475+L477+L481+L479+L483</f>
        <v>13055329</v>
      </c>
    </row>
    <row r="459" spans="1:12" ht="17.100000000000001" customHeight="1" x14ac:dyDescent="0.2">
      <c r="A459" s="3" t="s">
        <v>588</v>
      </c>
      <c r="B459" s="3" t="s">
        <v>603</v>
      </c>
      <c r="C459" s="3" t="s">
        <v>514</v>
      </c>
      <c r="D459" s="2"/>
      <c r="E459" s="5" t="s">
        <v>485</v>
      </c>
      <c r="F459" s="21">
        <f>F460</f>
        <v>948306</v>
      </c>
      <c r="G459" s="13">
        <f>G460</f>
        <v>36000</v>
      </c>
      <c r="H459" s="13">
        <f>H460</f>
        <v>948955</v>
      </c>
      <c r="I459" s="39">
        <f>I460</f>
        <v>1015204.65</v>
      </c>
      <c r="J459" s="39">
        <f t="shared" si="11"/>
        <v>122551.34999999998</v>
      </c>
      <c r="K459" s="39">
        <f>K460</f>
        <v>1137756</v>
      </c>
      <c r="L459" s="39">
        <f>L460</f>
        <v>1137756</v>
      </c>
    </row>
    <row r="460" spans="1:12" ht="17.100000000000001" customHeight="1" x14ac:dyDescent="0.2">
      <c r="A460" s="3" t="s">
        <v>588</v>
      </c>
      <c r="B460" s="3" t="s">
        <v>603</v>
      </c>
      <c r="C460" s="3" t="s">
        <v>514</v>
      </c>
      <c r="D460" s="3" t="s">
        <v>464</v>
      </c>
      <c r="E460" s="5" t="s">
        <v>465</v>
      </c>
      <c r="F460" s="18">
        <v>948306</v>
      </c>
      <c r="G460" s="17">
        <v>36000</v>
      </c>
      <c r="H460" s="17">
        <v>948955</v>
      </c>
      <c r="I460" s="40">
        <v>1015204.65</v>
      </c>
      <c r="J460" s="39">
        <f t="shared" si="11"/>
        <v>122551.34999999998</v>
      </c>
      <c r="K460" s="40">
        <v>1137756</v>
      </c>
      <c r="L460" s="40">
        <v>1137756</v>
      </c>
    </row>
    <row r="461" spans="1:12" ht="17.100000000000001" hidden="1" customHeight="1" x14ac:dyDescent="0.2">
      <c r="A461" s="3" t="s">
        <v>588</v>
      </c>
      <c r="B461" s="3" t="s">
        <v>603</v>
      </c>
      <c r="C461" s="3" t="s">
        <v>484</v>
      </c>
      <c r="D461" s="2"/>
      <c r="E461" s="5" t="s">
        <v>485</v>
      </c>
      <c r="F461" s="18">
        <f>F462</f>
        <v>425550</v>
      </c>
      <c r="G461" s="19">
        <f>G462</f>
        <v>-81500</v>
      </c>
      <c r="H461" s="19">
        <f>H462</f>
        <v>0</v>
      </c>
      <c r="I461" s="41">
        <f>I462</f>
        <v>0</v>
      </c>
      <c r="J461" s="39">
        <f t="shared" si="11"/>
        <v>0</v>
      </c>
      <c r="K461" s="41">
        <f>K462</f>
        <v>0</v>
      </c>
      <c r="L461" s="41">
        <f>L462</f>
        <v>0</v>
      </c>
    </row>
    <row r="462" spans="1:12" ht="17.100000000000001" hidden="1" customHeight="1" x14ac:dyDescent="0.2">
      <c r="A462" s="3" t="s">
        <v>588</v>
      </c>
      <c r="B462" s="3" t="s">
        <v>603</v>
      </c>
      <c r="C462" s="3" t="s">
        <v>484</v>
      </c>
      <c r="D462" s="3" t="s">
        <v>464</v>
      </c>
      <c r="E462" s="5" t="s">
        <v>465</v>
      </c>
      <c r="F462" s="18">
        <v>425550</v>
      </c>
      <c r="G462" s="17">
        <v>-81500</v>
      </c>
      <c r="H462" s="17"/>
      <c r="I462" s="40">
        <v>0</v>
      </c>
      <c r="J462" s="39">
        <f t="shared" si="11"/>
        <v>0</v>
      </c>
      <c r="K462" s="40">
        <v>0</v>
      </c>
      <c r="L462" s="40">
        <v>0</v>
      </c>
    </row>
    <row r="463" spans="1:12" ht="22.5" customHeight="1" x14ac:dyDescent="0.2">
      <c r="A463" s="3" t="s">
        <v>588</v>
      </c>
      <c r="B463" s="3" t="s">
        <v>603</v>
      </c>
      <c r="C463" s="3" t="s">
        <v>568</v>
      </c>
      <c r="D463" s="2"/>
      <c r="E463" s="5" t="s">
        <v>225</v>
      </c>
      <c r="F463" s="22">
        <f>F464</f>
        <v>7556058</v>
      </c>
      <c r="G463" s="19">
        <f>G464</f>
        <v>0</v>
      </c>
      <c r="H463" s="19">
        <f>H464</f>
        <v>6502109</v>
      </c>
      <c r="I463" s="41">
        <f>I464</f>
        <v>2865648.2</v>
      </c>
      <c r="J463" s="39">
        <f t="shared" si="11"/>
        <v>-0.20000000018626451</v>
      </c>
      <c r="K463" s="41">
        <f>K464</f>
        <v>2865648</v>
      </c>
      <c r="L463" s="41">
        <f>L464</f>
        <v>2865648</v>
      </c>
    </row>
    <row r="464" spans="1:12" ht="17.100000000000001" customHeight="1" x14ac:dyDescent="0.2">
      <c r="A464" s="3" t="s">
        <v>588</v>
      </c>
      <c r="B464" s="3" t="s">
        <v>603</v>
      </c>
      <c r="C464" s="3" t="s">
        <v>568</v>
      </c>
      <c r="D464" s="3" t="s">
        <v>482</v>
      </c>
      <c r="E464" s="5" t="s">
        <v>483</v>
      </c>
      <c r="F464" s="22">
        <v>7556058</v>
      </c>
      <c r="G464" s="17"/>
      <c r="H464" s="17">
        <v>6502109</v>
      </c>
      <c r="I464" s="40">
        <v>2865648.2</v>
      </c>
      <c r="J464" s="39">
        <f t="shared" si="11"/>
        <v>-0.20000000018626451</v>
      </c>
      <c r="K464" s="40">
        <v>2865648</v>
      </c>
      <c r="L464" s="40">
        <v>2865648</v>
      </c>
    </row>
    <row r="465" spans="1:15" ht="34.5" customHeight="1" x14ac:dyDescent="0.2">
      <c r="A465" s="3" t="s">
        <v>588</v>
      </c>
      <c r="B465" s="3" t="s">
        <v>603</v>
      </c>
      <c r="C465" s="3" t="s">
        <v>605</v>
      </c>
      <c r="D465" s="2"/>
      <c r="E465" s="5" t="s">
        <v>246</v>
      </c>
      <c r="F465" s="18">
        <f>F466</f>
        <v>141850</v>
      </c>
      <c r="G465" s="19">
        <f>G466</f>
        <v>0</v>
      </c>
      <c r="H465" s="19">
        <f>H466</f>
        <v>0</v>
      </c>
      <c r="I465" s="41">
        <f>I466</f>
        <v>563200</v>
      </c>
      <c r="J465" s="39">
        <f t="shared" si="11"/>
        <v>-218200</v>
      </c>
      <c r="K465" s="41">
        <f>K466</f>
        <v>345000</v>
      </c>
      <c r="L465" s="41">
        <f>L466</f>
        <v>515000</v>
      </c>
    </row>
    <row r="466" spans="1:15" ht="17.100000000000001" customHeight="1" x14ac:dyDescent="0.2">
      <c r="A466" s="3" t="s">
        <v>588</v>
      </c>
      <c r="B466" s="3" t="s">
        <v>603</v>
      </c>
      <c r="C466" s="3" t="s">
        <v>605</v>
      </c>
      <c r="D466" s="3" t="s">
        <v>482</v>
      </c>
      <c r="E466" s="5" t="s">
        <v>483</v>
      </c>
      <c r="F466" s="18">
        <v>141850</v>
      </c>
      <c r="G466" s="17">
        <v>0</v>
      </c>
      <c r="H466" s="17">
        <v>0</v>
      </c>
      <c r="I466" s="40">
        <v>563200</v>
      </c>
      <c r="J466" s="39">
        <f t="shared" si="11"/>
        <v>-218200</v>
      </c>
      <c r="K466" s="40">
        <v>345000</v>
      </c>
      <c r="L466" s="40">
        <v>515000</v>
      </c>
      <c r="M466" s="9"/>
      <c r="N466" s="9"/>
      <c r="O466" s="9"/>
    </row>
    <row r="467" spans="1:15" ht="27.75" customHeight="1" x14ac:dyDescent="0.2">
      <c r="A467" s="29" t="s">
        <v>588</v>
      </c>
      <c r="B467" s="30" t="s">
        <v>603</v>
      </c>
      <c r="C467" s="30" t="s">
        <v>130</v>
      </c>
      <c r="D467" s="2"/>
      <c r="E467" s="5" t="s">
        <v>247</v>
      </c>
      <c r="F467" s="18"/>
      <c r="G467" s="17"/>
      <c r="H467" s="17"/>
      <c r="I467" s="40">
        <f>I468</f>
        <v>3236042.1</v>
      </c>
      <c r="J467" s="39">
        <f t="shared" si="11"/>
        <v>2309937.9</v>
      </c>
      <c r="K467" s="40">
        <f>K468</f>
        <v>5545980</v>
      </c>
      <c r="L467" s="40">
        <f>L468</f>
        <v>5545980</v>
      </c>
      <c r="M467" s="9"/>
      <c r="N467" s="9"/>
      <c r="O467" s="9"/>
    </row>
    <row r="468" spans="1:15" ht="17.100000000000001" customHeight="1" x14ac:dyDescent="0.2">
      <c r="A468" s="29" t="s">
        <v>588</v>
      </c>
      <c r="B468" s="30" t="s">
        <v>603</v>
      </c>
      <c r="C468" s="30" t="s">
        <v>130</v>
      </c>
      <c r="D468" s="3" t="s">
        <v>482</v>
      </c>
      <c r="E468" s="31" t="s">
        <v>483</v>
      </c>
      <c r="F468" s="18"/>
      <c r="G468" s="17"/>
      <c r="H468" s="17"/>
      <c r="I468" s="40">
        <v>3236042.1</v>
      </c>
      <c r="J468" s="39">
        <f t="shared" si="11"/>
        <v>2309937.9</v>
      </c>
      <c r="K468" s="40">
        <v>5545980</v>
      </c>
      <c r="L468" s="40">
        <v>5545980</v>
      </c>
      <c r="M468" s="9"/>
      <c r="N468" s="9"/>
      <c r="O468" s="9"/>
    </row>
    <row r="469" spans="1:15" ht="45" customHeight="1" x14ac:dyDescent="0.2">
      <c r="A469" s="29" t="s">
        <v>588</v>
      </c>
      <c r="B469" s="30" t="s">
        <v>603</v>
      </c>
      <c r="C469" s="30" t="s">
        <v>131</v>
      </c>
      <c r="D469" s="2"/>
      <c r="E469" s="5" t="s">
        <v>251</v>
      </c>
      <c r="F469" s="18"/>
      <c r="G469" s="17"/>
      <c r="H469" s="17"/>
      <c r="I469" s="40">
        <f>I470</f>
        <v>1034406.8</v>
      </c>
      <c r="J469" s="39">
        <f t="shared" si="11"/>
        <v>51157.199999999953</v>
      </c>
      <c r="K469" s="40">
        <f>K470</f>
        <v>1085564</v>
      </c>
      <c r="L469" s="40">
        <f>L470</f>
        <v>1085564</v>
      </c>
      <c r="M469" s="9"/>
      <c r="N469" s="9"/>
      <c r="O469" s="9"/>
    </row>
    <row r="470" spans="1:15" ht="18" customHeight="1" x14ac:dyDescent="0.2">
      <c r="A470" s="29" t="s">
        <v>588</v>
      </c>
      <c r="B470" s="30" t="s">
        <v>603</v>
      </c>
      <c r="C470" s="30" t="s">
        <v>131</v>
      </c>
      <c r="D470" s="3" t="s">
        <v>482</v>
      </c>
      <c r="E470" s="31" t="s">
        <v>483</v>
      </c>
      <c r="F470" s="18"/>
      <c r="G470" s="17"/>
      <c r="H470" s="17"/>
      <c r="I470" s="40">
        <v>1034406.8</v>
      </c>
      <c r="J470" s="39">
        <f t="shared" si="11"/>
        <v>51157.199999999953</v>
      </c>
      <c r="K470" s="40">
        <v>1085564</v>
      </c>
      <c r="L470" s="40">
        <v>1085564</v>
      </c>
      <c r="M470" s="9"/>
      <c r="N470" s="9"/>
      <c r="O470" s="9"/>
    </row>
    <row r="471" spans="1:15" ht="31.5" x14ac:dyDescent="0.2">
      <c r="A471" s="29" t="s">
        <v>588</v>
      </c>
      <c r="B471" s="30" t="s">
        <v>603</v>
      </c>
      <c r="C471" s="30" t="s">
        <v>132</v>
      </c>
      <c r="D471" s="2"/>
      <c r="E471" s="5" t="s">
        <v>252</v>
      </c>
      <c r="F471" s="18"/>
      <c r="G471" s="17"/>
      <c r="H471" s="17"/>
      <c r="I471" s="40">
        <f>I472</f>
        <v>1324065.2</v>
      </c>
      <c r="J471" s="39">
        <f t="shared" si="11"/>
        <v>581315.80000000005</v>
      </c>
      <c r="K471" s="40">
        <f>K472</f>
        <v>1905381</v>
      </c>
      <c r="L471" s="40">
        <f>L472</f>
        <v>1905381</v>
      </c>
      <c r="M471" s="9"/>
      <c r="N471" s="9"/>
      <c r="O471" s="9"/>
    </row>
    <row r="472" spans="1:15" ht="17.100000000000001" customHeight="1" x14ac:dyDescent="0.2">
      <c r="A472" s="29" t="s">
        <v>588</v>
      </c>
      <c r="B472" s="30" t="s">
        <v>603</v>
      </c>
      <c r="C472" s="30" t="s">
        <v>132</v>
      </c>
      <c r="D472" s="3" t="s">
        <v>482</v>
      </c>
      <c r="E472" s="31" t="s">
        <v>483</v>
      </c>
      <c r="F472" s="18"/>
      <c r="G472" s="17"/>
      <c r="H472" s="17"/>
      <c r="I472" s="40">
        <v>1324065.2</v>
      </c>
      <c r="J472" s="39">
        <f t="shared" si="11"/>
        <v>581315.80000000005</v>
      </c>
      <c r="K472" s="40">
        <v>1905381</v>
      </c>
      <c r="L472" s="40">
        <v>1905381</v>
      </c>
      <c r="M472" s="9"/>
      <c r="N472" s="9"/>
      <c r="O472" s="9"/>
    </row>
    <row r="473" spans="1:15" ht="18.75" customHeight="1" x14ac:dyDescent="0.2">
      <c r="A473" s="3" t="s">
        <v>588</v>
      </c>
      <c r="B473" s="3" t="s">
        <v>603</v>
      </c>
      <c r="C473" s="3" t="s">
        <v>587</v>
      </c>
      <c r="D473" s="2"/>
      <c r="E473" s="5" t="s">
        <v>89</v>
      </c>
      <c r="F473" s="18">
        <f>F474</f>
        <v>47372</v>
      </c>
      <c r="G473" s="19">
        <f>G474</f>
        <v>609107</v>
      </c>
      <c r="H473" s="19">
        <f>H474</f>
        <v>0</v>
      </c>
      <c r="I473" s="41">
        <f>I474</f>
        <v>83330</v>
      </c>
      <c r="J473" s="39">
        <f t="shared" si="11"/>
        <v>-83330</v>
      </c>
      <c r="K473" s="41">
        <f>K474</f>
        <v>0</v>
      </c>
      <c r="L473" s="41">
        <f>L474</f>
        <v>0</v>
      </c>
    </row>
    <row r="474" spans="1:15" ht="17.25" customHeight="1" x14ac:dyDescent="0.2">
      <c r="A474" s="3" t="s">
        <v>588</v>
      </c>
      <c r="B474" s="3" t="s">
        <v>603</v>
      </c>
      <c r="C474" s="3" t="s">
        <v>587</v>
      </c>
      <c r="D474" s="3" t="s">
        <v>482</v>
      </c>
      <c r="E474" s="5" t="s">
        <v>483</v>
      </c>
      <c r="F474" s="18">
        <v>47372</v>
      </c>
      <c r="G474" s="17">
        <v>609107</v>
      </c>
      <c r="H474" s="17"/>
      <c r="I474" s="40">
        <v>83330</v>
      </c>
      <c r="J474" s="39">
        <f t="shared" si="11"/>
        <v>-83330</v>
      </c>
      <c r="K474" s="40">
        <v>0</v>
      </c>
      <c r="L474" s="40">
        <v>0</v>
      </c>
    </row>
    <row r="475" spans="1:15" ht="22.5" customHeight="1" x14ac:dyDescent="0.2">
      <c r="A475" s="29" t="s">
        <v>588</v>
      </c>
      <c r="B475" s="30" t="s">
        <v>603</v>
      </c>
      <c r="C475" s="30" t="s">
        <v>116</v>
      </c>
      <c r="D475" s="2"/>
      <c r="E475" s="31" t="s">
        <v>118</v>
      </c>
      <c r="F475" s="18"/>
      <c r="G475" s="17"/>
      <c r="H475" s="17"/>
      <c r="I475" s="40">
        <f>I476</f>
        <v>715121</v>
      </c>
      <c r="J475" s="39">
        <f t="shared" si="11"/>
        <v>-715121</v>
      </c>
      <c r="K475" s="40">
        <f>K476</f>
        <v>0</v>
      </c>
      <c r="L475" s="40">
        <f>L476</f>
        <v>0</v>
      </c>
    </row>
    <row r="476" spans="1:15" ht="17.100000000000001" customHeight="1" x14ac:dyDescent="0.2">
      <c r="A476" s="29" t="s">
        <v>588</v>
      </c>
      <c r="B476" s="30" t="s">
        <v>603</v>
      </c>
      <c r="C476" s="30" t="s">
        <v>116</v>
      </c>
      <c r="D476" s="3" t="s">
        <v>482</v>
      </c>
      <c r="E476" s="31" t="s">
        <v>483</v>
      </c>
      <c r="F476" s="18"/>
      <c r="G476" s="17"/>
      <c r="H476" s="17"/>
      <c r="I476" s="40">
        <v>715121</v>
      </c>
      <c r="J476" s="39">
        <f t="shared" si="11"/>
        <v>-715121</v>
      </c>
      <c r="K476" s="40">
        <v>0</v>
      </c>
      <c r="L476" s="40">
        <v>0</v>
      </c>
    </row>
    <row r="477" spans="1:15" ht="24" customHeight="1" x14ac:dyDescent="0.2">
      <c r="A477" s="29" t="s">
        <v>588</v>
      </c>
      <c r="B477" s="30" t="s">
        <v>603</v>
      </c>
      <c r="C477" s="30" t="s">
        <v>117</v>
      </c>
      <c r="D477" s="2"/>
      <c r="E477" s="31" t="s">
        <v>103</v>
      </c>
      <c r="F477" s="18"/>
      <c r="G477" s="17"/>
      <c r="H477" s="17"/>
      <c r="I477" s="40">
        <f>I478</f>
        <v>700</v>
      </c>
      <c r="J477" s="39">
        <f t="shared" si="11"/>
        <v>-700</v>
      </c>
      <c r="K477" s="40">
        <f>K478</f>
        <v>0</v>
      </c>
      <c r="L477" s="40">
        <f>L478</f>
        <v>0</v>
      </c>
    </row>
    <row r="478" spans="1:15" ht="17.100000000000001" customHeight="1" x14ac:dyDescent="0.2">
      <c r="A478" s="29" t="s">
        <v>588</v>
      </c>
      <c r="B478" s="30" t="s">
        <v>603</v>
      </c>
      <c r="C478" s="30" t="s">
        <v>117</v>
      </c>
      <c r="D478" s="3" t="s">
        <v>482</v>
      </c>
      <c r="E478" s="31" t="s">
        <v>483</v>
      </c>
      <c r="F478" s="18"/>
      <c r="G478" s="17"/>
      <c r="H478" s="17"/>
      <c r="I478" s="40">
        <v>700</v>
      </c>
      <c r="J478" s="39">
        <f t="shared" si="11"/>
        <v>-700</v>
      </c>
      <c r="K478" s="40">
        <v>0</v>
      </c>
      <c r="L478" s="40">
        <v>0</v>
      </c>
    </row>
    <row r="479" spans="1:15" ht="24.75" hidden="1" customHeight="1" x14ac:dyDescent="0.2">
      <c r="A479" s="29" t="s">
        <v>588</v>
      </c>
      <c r="B479" s="30" t="s">
        <v>603</v>
      </c>
      <c r="C479" s="30" t="s">
        <v>284</v>
      </c>
      <c r="D479" s="3"/>
      <c r="E479" s="31" t="s">
        <v>296</v>
      </c>
      <c r="F479" s="18"/>
      <c r="G479" s="17"/>
      <c r="H479" s="17"/>
      <c r="I479" s="40">
        <f>I480</f>
        <v>0</v>
      </c>
      <c r="J479" s="39">
        <f t="shared" si="11"/>
        <v>0</v>
      </c>
      <c r="K479" s="40">
        <f>K480</f>
        <v>0</v>
      </c>
      <c r="L479" s="40">
        <f>L480</f>
        <v>0</v>
      </c>
    </row>
    <row r="480" spans="1:15" ht="17.100000000000001" hidden="1" customHeight="1" x14ac:dyDescent="0.2">
      <c r="A480" s="29" t="s">
        <v>588</v>
      </c>
      <c r="B480" s="30" t="s">
        <v>603</v>
      </c>
      <c r="C480" s="30" t="s">
        <v>284</v>
      </c>
      <c r="D480" s="3" t="s">
        <v>482</v>
      </c>
      <c r="E480" s="31" t="s">
        <v>483</v>
      </c>
      <c r="F480" s="18"/>
      <c r="G480" s="17"/>
      <c r="H480" s="17"/>
      <c r="I480" s="40"/>
      <c r="J480" s="39">
        <f t="shared" si="11"/>
        <v>0</v>
      </c>
      <c r="K480" s="40"/>
      <c r="L480" s="40"/>
    </row>
    <row r="481" spans="1:12" ht="25.5" hidden="1" customHeight="1" x14ac:dyDescent="0.2">
      <c r="A481" s="29" t="s">
        <v>588</v>
      </c>
      <c r="B481" s="30" t="s">
        <v>603</v>
      </c>
      <c r="C481" s="30" t="s">
        <v>500</v>
      </c>
      <c r="D481" s="3"/>
      <c r="E481" s="5" t="s">
        <v>208</v>
      </c>
      <c r="F481" s="18"/>
      <c r="G481" s="17"/>
      <c r="H481" s="17"/>
      <c r="I481" s="40">
        <f>I482</f>
        <v>0</v>
      </c>
      <c r="J481" s="39">
        <f t="shared" si="11"/>
        <v>0</v>
      </c>
      <c r="K481" s="40">
        <f>K482</f>
        <v>0</v>
      </c>
      <c r="L481" s="40">
        <f>L482</f>
        <v>0</v>
      </c>
    </row>
    <row r="482" spans="1:12" ht="17.100000000000001" hidden="1" customHeight="1" x14ac:dyDescent="0.2">
      <c r="A482" s="29" t="s">
        <v>588</v>
      </c>
      <c r="B482" s="30" t="s">
        <v>603</v>
      </c>
      <c r="C482" s="30" t="s">
        <v>500</v>
      </c>
      <c r="D482" s="3" t="s">
        <v>464</v>
      </c>
      <c r="E482" s="5" t="s">
        <v>465</v>
      </c>
      <c r="F482" s="18"/>
      <c r="G482" s="17"/>
      <c r="H482" s="17"/>
      <c r="I482" s="40"/>
      <c r="J482" s="39">
        <f t="shared" si="11"/>
        <v>0</v>
      </c>
      <c r="K482" s="40"/>
      <c r="L482" s="40"/>
    </row>
    <row r="483" spans="1:12" ht="31.5" hidden="1" x14ac:dyDescent="0.2">
      <c r="A483" s="29" t="s">
        <v>588</v>
      </c>
      <c r="B483" s="30" t="s">
        <v>603</v>
      </c>
      <c r="C483" s="30" t="s">
        <v>317</v>
      </c>
      <c r="D483" s="3"/>
      <c r="E483" s="31" t="s">
        <v>347</v>
      </c>
      <c r="F483" s="18"/>
      <c r="G483" s="17"/>
      <c r="H483" s="17"/>
      <c r="I483" s="40">
        <f>I484</f>
        <v>0</v>
      </c>
      <c r="J483" s="39">
        <f t="shared" si="11"/>
        <v>0</v>
      </c>
      <c r="K483" s="40">
        <f>K484</f>
        <v>0</v>
      </c>
      <c r="L483" s="40">
        <f>L484</f>
        <v>0</v>
      </c>
    </row>
    <row r="484" spans="1:12" ht="17.100000000000001" hidden="1" customHeight="1" x14ac:dyDescent="0.2">
      <c r="A484" s="29" t="s">
        <v>588</v>
      </c>
      <c r="B484" s="30" t="s">
        <v>603</v>
      </c>
      <c r="C484" s="30" t="s">
        <v>317</v>
      </c>
      <c r="D484" s="3" t="s">
        <v>282</v>
      </c>
      <c r="E484" s="31" t="s">
        <v>289</v>
      </c>
      <c r="F484" s="18"/>
      <c r="G484" s="17"/>
      <c r="H484" s="17"/>
      <c r="I484" s="40"/>
      <c r="J484" s="39">
        <f t="shared" si="11"/>
        <v>0</v>
      </c>
      <c r="K484" s="40"/>
      <c r="L484" s="40"/>
    </row>
    <row r="485" spans="1:12" ht="17.100000000000001" hidden="1" customHeight="1" x14ac:dyDescent="0.2">
      <c r="A485" s="29" t="s">
        <v>588</v>
      </c>
      <c r="B485" s="30" t="s">
        <v>540</v>
      </c>
      <c r="C485" s="30"/>
      <c r="D485" s="3"/>
      <c r="E485" s="31" t="s">
        <v>541</v>
      </c>
      <c r="F485" s="18"/>
      <c r="G485" s="17"/>
      <c r="H485" s="17"/>
      <c r="I485" s="40">
        <f>I486</f>
        <v>0</v>
      </c>
      <c r="J485" s="39">
        <f t="shared" si="11"/>
        <v>0</v>
      </c>
      <c r="K485" s="40">
        <f>K486</f>
        <v>0</v>
      </c>
      <c r="L485" s="40">
        <f>L486</f>
        <v>0</v>
      </c>
    </row>
    <row r="486" spans="1:12" ht="21" hidden="1" x14ac:dyDescent="0.2">
      <c r="A486" s="29" t="s">
        <v>588</v>
      </c>
      <c r="B486" s="30" t="s">
        <v>540</v>
      </c>
      <c r="C486" s="30" t="s">
        <v>196</v>
      </c>
      <c r="D486" s="3"/>
      <c r="E486" s="31" t="s">
        <v>268</v>
      </c>
      <c r="F486" s="18"/>
      <c r="G486" s="17"/>
      <c r="H486" s="17"/>
      <c r="I486" s="40">
        <f>I487</f>
        <v>0</v>
      </c>
      <c r="J486" s="39">
        <f t="shared" si="11"/>
        <v>0</v>
      </c>
      <c r="K486" s="40">
        <f>K487</f>
        <v>0</v>
      </c>
      <c r="L486" s="40">
        <f>L487</f>
        <v>0</v>
      </c>
    </row>
    <row r="487" spans="1:12" ht="17.100000000000001" hidden="1" customHeight="1" x14ac:dyDescent="0.2">
      <c r="A487" s="29" t="s">
        <v>588</v>
      </c>
      <c r="B487" s="30" t="s">
        <v>540</v>
      </c>
      <c r="C487" s="30" t="s">
        <v>196</v>
      </c>
      <c r="D487" s="3" t="s">
        <v>544</v>
      </c>
      <c r="E487" s="31" t="s">
        <v>545</v>
      </c>
      <c r="F487" s="18"/>
      <c r="G487" s="17"/>
      <c r="H487" s="17"/>
      <c r="I487" s="40"/>
      <c r="J487" s="39">
        <f t="shared" si="11"/>
        <v>0</v>
      </c>
      <c r="K487" s="40"/>
      <c r="L487" s="40"/>
    </row>
    <row r="488" spans="1:12" ht="17.100000000000001" customHeight="1" x14ac:dyDescent="0.2">
      <c r="A488" s="3" t="s">
        <v>588</v>
      </c>
      <c r="B488" s="3" t="s">
        <v>606</v>
      </c>
      <c r="C488" s="2"/>
      <c r="D488" s="2"/>
      <c r="E488" s="5" t="s">
        <v>607</v>
      </c>
      <c r="F488" s="15">
        <f>F489+F491+F495+F497+F499</f>
        <v>10154600</v>
      </c>
      <c r="G488" s="13">
        <f>G489+G491+G495+G497+G499</f>
        <v>911700</v>
      </c>
      <c r="H488" s="13">
        <f>H489+H491+H495+H497+H499</f>
        <v>0</v>
      </c>
      <c r="I488" s="39">
        <f>I489+I491+I495+I497+I499+I493</f>
        <v>11346600</v>
      </c>
      <c r="J488" s="39">
        <f t="shared" si="11"/>
        <v>5721400</v>
      </c>
      <c r="K488" s="39">
        <f>K489+K491+K495+K497+K499+K493</f>
        <v>17068000</v>
      </c>
      <c r="L488" s="39">
        <f>L489+L491+L495+L497+L499+L493</f>
        <v>17302900</v>
      </c>
    </row>
    <row r="489" spans="1:12" ht="33" hidden="1" customHeight="1" x14ac:dyDescent="0.2">
      <c r="A489" s="3" t="s">
        <v>588</v>
      </c>
      <c r="B489" s="3" t="s">
        <v>606</v>
      </c>
      <c r="C489" s="3" t="s">
        <v>608</v>
      </c>
      <c r="D489" s="2"/>
      <c r="E489" s="5" t="s">
        <v>609</v>
      </c>
      <c r="F489" s="15">
        <f>F490</f>
        <v>628200</v>
      </c>
      <c r="G489" s="13">
        <f>G490</f>
        <v>0</v>
      </c>
      <c r="H489" s="13">
        <f>H490</f>
        <v>0</v>
      </c>
      <c r="I489" s="39">
        <f>I490</f>
        <v>0</v>
      </c>
      <c r="J489" s="39">
        <f t="shared" si="11"/>
        <v>0</v>
      </c>
      <c r="K489" s="39">
        <f>K490</f>
        <v>0</v>
      </c>
      <c r="L489" s="39">
        <f>L490</f>
        <v>0</v>
      </c>
    </row>
    <row r="490" spans="1:12" ht="15.75" hidden="1" customHeight="1" x14ac:dyDescent="0.2">
      <c r="A490" s="3" t="s">
        <v>588</v>
      </c>
      <c r="B490" s="3" t="s">
        <v>606</v>
      </c>
      <c r="C490" s="3" t="s">
        <v>608</v>
      </c>
      <c r="D490" s="3" t="s">
        <v>544</v>
      </c>
      <c r="E490" s="5" t="s">
        <v>545</v>
      </c>
      <c r="F490" s="16">
        <v>628200</v>
      </c>
      <c r="G490" s="17"/>
      <c r="H490" s="17"/>
      <c r="I490" s="40">
        <v>0</v>
      </c>
      <c r="J490" s="39">
        <f t="shared" si="11"/>
        <v>0</v>
      </c>
      <c r="K490" s="40">
        <v>0</v>
      </c>
      <c r="L490" s="40">
        <v>0</v>
      </c>
    </row>
    <row r="491" spans="1:12" ht="36.75" customHeight="1" x14ac:dyDescent="0.2">
      <c r="A491" s="3" t="s">
        <v>588</v>
      </c>
      <c r="B491" s="3" t="s">
        <v>606</v>
      </c>
      <c r="C491" s="3" t="s">
        <v>610</v>
      </c>
      <c r="D491" s="2"/>
      <c r="E491" s="5" t="s">
        <v>611</v>
      </c>
      <c r="F491" s="16">
        <f>F492</f>
        <v>911700</v>
      </c>
      <c r="G491" s="19">
        <f>G492</f>
        <v>0</v>
      </c>
      <c r="H491" s="19">
        <f>H492</f>
        <v>0</v>
      </c>
      <c r="I491" s="41">
        <f>I492</f>
        <v>900000</v>
      </c>
      <c r="J491" s="39">
        <f t="shared" si="11"/>
        <v>-365900</v>
      </c>
      <c r="K491" s="41">
        <f>K492</f>
        <v>534100</v>
      </c>
      <c r="L491" s="41">
        <f>L492</f>
        <v>606500</v>
      </c>
    </row>
    <row r="492" spans="1:12" ht="17.100000000000001" customHeight="1" x14ac:dyDescent="0.2">
      <c r="A492" s="3" t="s">
        <v>588</v>
      </c>
      <c r="B492" s="3" t="s">
        <v>606</v>
      </c>
      <c r="C492" s="3" t="s">
        <v>610</v>
      </c>
      <c r="D492" s="3" t="s">
        <v>544</v>
      </c>
      <c r="E492" s="5" t="s">
        <v>545</v>
      </c>
      <c r="F492" s="16">
        <v>911700</v>
      </c>
      <c r="G492" s="17"/>
      <c r="H492" s="17"/>
      <c r="I492" s="40">
        <v>900000</v>
      </c>
      <c r="J492" s="39">
        <f t="shared" si="11"/>
        <v>-365900</v>
      </c>
      <c r="K492" s="40">
        <v>534100</v>
      </c>
      <c r="L492" s="40">
        <v>606500</v>
      </c>
    </row>
    <row r="493" spans="1:12" ht="48" customHeight="1" x14ac:dyDescent="0.2">
      <c r="A493" s="29" t="s">
        <v>588</v>
      </c>
      <c r="B493" s="30" t="s">
        <v>606</v>
      </c>
      <c r="C493" s="30" t="s">
        <v>133</v>
      </c>
      <c r="D493" s="2"/>
      <c r="E493" s="31" t="s">
        <v>134</v>
      </c>
      <c r="F493" s="16"/>
      <c r="G493" s="17"/>
      <c r="H493" s="17"/>
      <c r="I493" s="40">
        <f>I494</f>
        <v>1358400</v>
      </c>
      <c r="J493" s="39">
        <f t="shared" si="11"/>
        <v>131100</v>
      </c>
      <c r="K493" s="40">
        <f>K494</f>
        <v>1489500</v>
      </c>
      <c r="L493" s="40">
        <f>L494</f>
        <v>1706200</v>
      </c>
    </row>
    <row r="494" spans="1:12" ht="17.100000000000001" customHeight="1" x14ac:dyDescent="0.2">
      <c r="A494" s="29" t="s">
        <v>588</v>
      </c>
      <c r="B494" s="30" t="s">
        <v>606</v>
      </c>
      <c r="C494" s="30" t="s">
        <v>133</v>
      </c>
      <c r="D494" s="3" t="s">
        <v>544</v>
      </c>
      <c r="E494" s="31" t="s">
        <v>545</v>
      </c>
      <c r="F494" s="16"/>
      <c r="G494" s="17"/>
      <c r="H494" s="17"/>
      <c r="I494" s="40">
        <v>1358400</v>
      </c>
      <c r="J494" s="39">
        <f t="shared" si="11"/>
        <v>131100</v>
      </c>
      <c r="K494" s="40">
        <v>1489500</v>
      </c>
      <c r="L494" s="40">
        <v>1706200</v>
      </c>
    </row>
    <row r="495" spans="1:12" ht="17.100000000000001" customHeight="1" x14ac:dyDescent="0.2">
      <c r="A495" s="3" t="s">
        <v>588</v>
      </c>
      <c r="B495" s="3" t="s">
        <v>606</v>
      </c>
      <c r="C495" s="3" t="s">
        <v>612</v>
      </c>
      <c r="D495" s="2"/>
      <c r="E495" s="5" t="s">
        <v>613</v>
      </c>
      <c r="F495" s="18">
        <f>F496</f>
        <v>2420731</v>
      </c>
      <c r="G495" s="19">
        <f>G496</f>
        <v>255276</v>
      </c>
      <c r="H495" s="19">
        <f>H496</f>
        <v>0</v>
      </c>
      <c r="I495" s="41">
        <f>I496</f>
        <v>2553600</v>
      </c>
      <c r="J495" s="39">
        <f t="shared" si="11"/>
        <v>4166400</v>
      </c>
      <c r="K495" s="41">
        <f>K496</f>
        <v>6720000</v>
      </c>
      <c r="L495" s="41">
        <f>L496</f>
        <v>7056000</v>
      </c>
    </row>
    <row r="496" spans="1:12" ht="17.100000000000001" customHeight="1" x14ac:dyDescent="0.2">
      <c r="A496" s="3" t="s">
        <v>588</v>
      </c>
      <c r="B496" s="3" t="s">
        <v>606</v>
      </c>
      <c r="C496" s="3" t="s">
        <v>612</v>
      </c>
      <c r="D496" s="3" t="s">
        <v>544</v>
      </c>
      <c r="E496" s="5" t="s">
        <v>545</v>
      </c>
      <c r="F496" s="18">
        <v>2420731</v>
      </c>
      <c r="G496" s="17">
        <v>255276</v>
      </c>
      <c r="H496" s="17"/>
      <c r="I496" s="40">
        <v>2553600</v>
      </c>
      <c r="J496" s="39">
        <f t="shared" si="11"/>
        <v>4166400</v>
      </c>
      <c r="K496" s="40">
        <v>6720000</v>
      </c>
      <c r="L496" s="40">
        <v>7056000</v>
      </c>
    </row>
    <row r="497" spans="1:15" ht="17.100000000000001" customHeight="1" x14ac:dyDescent="0.2">
      <c r="A497" s="3" t="s">
        <v>588</v>
      </c>
      <c r="B497" s="3" t="s">
        <v>606</v>
      </c>
      <c r="C497" s="3" t="s">
        <v>614</v>
      </c>
      <c r="D497" s="2"/>
      <c r="E497" s="5" t="s">
        <v>615</v>
      </c>
      <c r="F497" s="18">
        <f>F498</f>
        <v>1085452</v>
      </c>
      <c r="G497" s="19">
        <f>G498</f>
        <v>118521</v>
      </c>
      <c r="H497" s="19">
        <f>H498</f>
        <v>0</v>
      </c>
      <c r="I497" s="41">
        <f>I498</f>
        <v>2014000</v>
      </c>
      <c r="J497" s="39">
        <f t="shared" si="11"/>
        <v>3622400</v>
      </c>
      <c r="K497" s="41">
        <f>K498</f>
        <v>5636400</v>
      </c>
      <c r="L497" s="41">
        <f>L498</f>
        <v>5918200</v>
      </c>
    </row>
    <row r="498" spans="1:15" ht="17.100000000000001" customHeight="1" x14ac:dyDescent="0.2">
      <c r="A498" s="3" t="s">
        <v>588</v>
      </c>
      <c r="B498" s="3" t="s">
        <v>606</v>
      </c>
      <c r="C498" s="3" t="s">
        <v>614</v>
      </c>
      <c r="D498" s="3" t="s">
        <v>544</v>
      </c>
      <c r="E498" s="5" t="s">
        <v>545</v>
      </c>
      <c r="F498" s="18">
        <v>1085452</v>
      </c>
      <c r="G498" s="17">
        <v>118521</v>
      </c>
      <c r="H498" s="17"/>
      <c r="I498" s="40">
        <v>2014000</v>
      </c>
      <c r="J498" s="39">
        <f t="shared" si="11"/>
        <v>3622400</v>
      </c>
      <c r="K498" s="40">
        <v>5636400</v>
      </c>
      <c r="L498" s="40">
        <v>5918200</v>
      </c>
    </row>
    <row r="499" spans="1:15" ht="17.100000000000001" customHeight="1" x14ac:dyDescent="0.2">
      <c r="A499" s="3" t="s">
        <v>588</v>
      </c>
      <c r="B499" s="3" t="s">
        <v>606</v>
      </c>
      <c r="C499" s="3" t="s">
        <v>616</v>
      </c>
      <c r="D499" s="2"/>
      <c r="E499" s="5" t="s">
        <v>617</v>
      </c>
      <c r="F499" s="18">
        <f>F500</f>
        <v>5108517</v>
      </c>
      <c r="G499" s="19">
        <f>G500</f>
        <v>537903</v>
      </c>
      <c r="H499" s="19">
        <f>H500</f>
        <v>0</v>
      </c>
      <c r="I499" s="41">
        <f>I500</f>
        <v>4520600</v>
      </c>
      <c r="J499" s="39">
        <f t="shared" si="11"/>
        <v>-1832600</v>
      </c>
      <c r="K499" s="41">
        <f>K500</f>
        <v>2688000</v>
      </c>
      <c r="L499" s="41">
        <f>L500</f>
        <v>2016000</v>
      </c>
    </row>
    <row r="500" spans="1:15" ht="17.100000000000001" customHeight="1" x14ac:dyDescent="0.2">
      <c r="A500" s="3" t="s">
        <v>588</v>
      </c>
      <c r="B500" s="3" t="s">
        <v>606</v>
      </c>
      <c r="C500" s="3" t="s">
        <v>616</v>
      </c>
      <c r="D500" s="3" t="s">
        <v>544</v>
      </c>
      <c r="E500" s="5" t="s">
        <v>545</v>
      </c>
      <c r="F500" s="18">
        <v>5108517</v>
      </c>
      <c r="G500" s="17">
        <v>537903</v>
      </c>
      <c r="H500" s="17"/>
      <c r="I500" s="40">
        <v>4520600</v>
      </c>
      <c r="J500" s="39">
        <f t="shared" si="11"/>
        <v>-1832600</v>
      </c>
      <c r="K500" s="40">
        <v>2688000</v>
      </c>
      <c r="L500" s="40">
        <v>2016000</v>
      </c>
      <c r="M500" s="47"/>
      <c r="N500" s="9"/>
      <c r="O500" s="9"/>
    </row>
    <row r="501" spans="1:15" ht="34.5" customHeight="1" x14ac:dyDescent="0.2">
      <c r="A501" s="1" t="s">
        <v>618</v>
      </c>
      <c r="B501" s="7"/>
      <c r="C501" s="7"/>
      <c r="D501" s="7"/>
      <c r="E501" s="28" t="s">
        <v>619</v>
      </c>
      <c r="F501" s="14" t="e">
        <f>F502+F507+#REF!+F515+F520+F543+F554+F557+F562+F569+F572</f>
        <v>#VALUE!</v>
      </c>
      <c r="G501" s="12" t="e">
        <f>G502+G507+#REF!+G515+G520+G543+G554+G557+G562+G569+G572</f>
        <v>#REF!</v>
      </c>
      <c r="H501" s="12" t="e">
        <f>H502+H507+#REF!+H515+H520+H543+H554+H557+H562+H569+H572</f>
        <v>#REF!</v>
      </c>
      <c r="I501" s="38">
        <f>I502+I507+I515+I520+I543+I554+I557+I562+I569+I572+I512+I546+I549+I577+I582</f>
        <v>32998994</v>
      </c>
      <c r="J501" s="38">
        <f t="shared" si="11"/>
        <v>1351982</v>
      </c>
      <c r="K501" s="38">
        <f>K502+K507+K515+K520+K543+K554+K557+K562+K569+K572+K512+K546+K549+K577+K582</f>
        <v>34350976</v>
      </c>
      <c r="L501" s="38">
        <f>L502+L507+L515+L520+L543+L554+L557+L562+L569+L572+L512+L546+L549+L577+L582</f>
        <v>32583976</v>
      </c>
      <c r="M501" s="48"/>
    </row>
    <row r="502" spans="1:15" ht="28.5" customHeight="1" x14ac:dyDescent="0.2">
      <c r="A502" s="3" t="s">
        <v>618</v>
      </c>
      <c r="B502" s="3" t="s">
        <v>620</v>
      </c>
      <c r="C502" s="2"/>
      <c r="D502" s="2"/>
      <c r="E502" s="5" t="s">
        <v>621</v>
      </c>
      <c r="F502" s="15">
        <f t="shared" ref="F502:H503" si="12">F503</f>
        <v>3767612</v>
      </c>
      <c r="G502" s="13">
        <f t="shared" si="12"/>
        <v>483000</v>
      </c>
      <c r="H502" s="13">
        <f t="shared" si="12"/>
        <v>3678108</v>
      </c>
      <c r="I502" s="39">
        <f>I503+I505</f>
        <v>3821394</v>
      </c>
      <c r="J502" s="39">
        <f t="shared" si="11"/>
        <v>334882</v>
      </c>
      <c r="K502" s="39">
        <f>K503+K505</f>
        <v>4156276</v>
      </c>
      <c r="L502" s="39">
        <f>L503+L505</f>
        <v>4156276</v>
      </c>
      <c r="M502" s="49"/>
    </row>
    <row r="503" spans="1:15" ht="17.100000000000001" customHeight="1" x14ac:dyDescent="0.2">
      <c r="A503" s="3" t="s">
        <v>618</v>
      </c>
      <c r="B503" s="3" t="s">
        <v>620</v>
      </c>
      <c r="C503" s="3" t="s">
        <v>514</v>
      </c>
      <c r="D503" s="2"/>
      <c r="E503" s="5" t="s">
        <v>485</v>
      </c>
      <c r="F503" s="21">
        <f t="shared" si="12"/>
        <v>3767612</v>
      </c>
      <c r="G503" s="13">
        <f t="shared" si="12"/>
        <v>483000</v>
      </c>
      <c r="H503" s="13">
        <f t="shared" si="12"/>
        <v>3678108</v>
      </c>
      <c r="I503" s="39">
        <f>I504</f>
        <v>3821394</v>
      </c>
      <c r="J503" s="39">
        <f t="shared" si="11"/>
        <v>188604</v>
      </c>
      <c r="K503" s="39">
        <f>K504</f>
        <v>4009998</v>
      </c>
      <c r="L503" s="39">
        <f>L504</f>
        <v>4009998</v>
      </c>
      <c r="M503" s="49"/>
    </row>
    <row r="504" spans="1:15" ht="17.100000000000001" customHeight="1" x14ac:dyDescent="0.2">
      <c r="A504" s="3" t="s">
        <v>618</v>
      </c>
      <c r="B504" s="3" t="s">
        <v>620</v>
      </c>
      <c r="C504" s="3" t="s">
        <v>514</v>
      </c>
      <c r="D504" s="3" t="s">
        <v>464</v>
      </c>
      <c r="E504" s="5" t="s">
        <v>465</v>
      </c>
      <c r="F504" s="18">
        <v>3767612</v>
      </c>
      <c r="G504" s="17">
        <v>483000</v>
      </c>
      <c r="H504" s="17">
        <v>3678108</v>
      </c>
      <c r="I504" s="40">
        <v>3821394</v>
      </c>
      <c r="J504" s="39">
        <f t="shared" si="11"/>
        <v>188604</v>
      </c>
      <c r="K504" s="40">
        <v>4009998</v>
      </c>
      <c r="L504" s="40">
        <v>4009998</v>
      </c>
      <c r="M504" s="50"/>
    </row>
    <row r="505" spans="1:15" ht="17.100000000000001" customHeight="1" x14ac:dyDescent="0.2">
      <c r="A505" s="3" t="s">
        <v>618</v>
      </c>
      <c r="B505" s="3" t="s">
        <v>620</v>
      </c>
      <c r="C505" s="3" t="s">
        <v>82</v>
      </c>
      <c r="D505" s="3"/>
      <c r="E505" s="5" t="s">
        <v>184</v>
      </c>
      <c r="F505" s="18"/>
      <c r="G505" s="17"/>
      <c r="H505" s="17"/>
      <c r="I505" s="40">
        <f>I506</f>
        <v>0</v>
      </c>
      <c r="J505" s="39">
        <f t="shared" si="11"/>
        <v>146278</v>
      </c>
      <c r="K505" s="40">
        <f>K506</f>
        <v>146278</v>
      </c>
      <c r="L505" s="40">
        <f>L506</f>
        <v>146278</v>
      </c>
      <c r="M505" s="50"/>
    </row>
    <row r="506" spans="1:15" ht="17.100000000000001" customHeight="1" x14ac:dyDescent="0.2">
      <c r="A506" s="3" t="s">
        <v>618</v>
      </c>
      <c r="B506" s="3" t="s">
        <v>620</v>
      </c>
      <c r="C506" s="3" t="s">
        <v>82</v>
      </c>
      <c r="D506" s="3" t="s">
        <v>464</v>
      </c>
      <c r="E506" s="5" t="s">
        <v>465</v>
      </c>
      <c r="F506" s="18"/>
      <c r="G506" s="17"/>
      <c r="H506" s="17"/>
      <c r="I506" s="40">
        <v>0</v>
      </c>
      <c r="J506" s="39">
        <f t="shared" si="11"/>
        <v>146278</v>
      </c>
      <c r="K506" s="40">
        <v>146278</v>
      </c>
      <c r="L506" s="40">
        <v>146278</v>
      </c>
      <c r="M506" s="50"/>
    </row>
    <row r="507" spans="1:15" ht="17.100000000000001" customHeight="1" x14ac:dyDescent="0.2">
      <c r="A507" s="3" t="s">
        <v>618</v>
      </c>
      <c r="B507" s="3" t="s">
        <v>380</v>
      </c>
      <c r="C507" s="2"/>
      <c r="D507" s="2"/>
      <c r="E507" s="11" t="s">
        <v>401</v>
      </c>
      <c r="F507" s="21" t="s">
        <v>401</v>
      </c>
      <c r="G507" s="13"/>
      <c r="H507" s="13">
        <f>H508</f>
        <v>0</v>
      </c>
      <c r="I507" s="39">
        <f>I508+I510</f>
        <v>0</v>
      </c>
      <c r="J507" s="39">
        <f t="shared" si="11"/>
        <v>650000</v>
      </c>
      <c r="K507" s="39">
        <f>K508+K510</f>
        <v>650000</v>
      </c>
      <c r="L507" s="39">
        <f>L508+L510</f>
        <v>0</v>
      </c>
      <c r="M507" s="49"/>
    </row>
    <row r="508" spans="1:15" ht="24.75" customHeight="1" x14ac:dyDescent="0.2">
      <c r="A508" s="3" t="s">
        <v>618</v>
      </c>
      <c r="B508" s="3" t="s">
        <v>380</v>
      </c>
      <c r="C508" s="3" t="s">
        <v>381</v>
      </c>
      <c r="D508" s="2"/>
      <c r="E508" s="11" t="s">
        <v>399</v>
      </c>
      <c r="F508" s="21">
        <f>F509</f>
        <v>50000</v>
      </c>
      <c r="G508" s="13">
        <f>G509</f>
        <v>0</v>
      </c>
      <c r="H508" s="13">
        <f>H509</f>
        <v>0</v>
      </c>
      <c r="I508" s="39">
        <f>I509</f>
        <v>0</v>
      </c>
      <c r="J508" s="39">
        <f t="shared" si="11"/>
        <v>150000</v>
      </c>
      <c r="K508" s="39">
        <f>K509</f>
        <v>150000</v>
      </c>
      <c r="L508" s="39">
        <f>L509</f>
        <v>0</v>
      </c>
      <c r="M508" s="49"/>
    </row>
    <row r="509" spans="1:15" ht="17.100000000000001" customHeight="1" x14ac:dyDescent="0.2">
      <c r="A509" s="3" t="s">
        <v>618</v>
      </c>
      <c r="B509" s="3" t="s">
        <v>380</v>
      </c>
      <c r="C509" s="3" t="s">
        <v>381</v>
      </c>
      <c r="D509" s="3" t="s">
        <v>464</v>
      </c>
      <c r="E509" s="5" t="s">
        <v>465</v>
      </c>
      <c r="F509" s="18">
        <v>50000</v>
      </c>
      <c r="G509" s="17"/>
      <c r="H509" s="17"/>
      <c r="I509" s="40">
        <v>0</v>
      </c>
      <c r="J509" s="39">
        <f t="shared" si="11"/>
        <v>150000</v>
      </c>
      <c r="K509" s="40">
        <v>150000</v>
      </c>
      <c r="L509" s="40">
        <v>0</v>
      </c>
      <c r="M509" s="50"/>
    </row>
    <row r="510" spans="1:15" ht="17.100000000000001" customHeight="1" x14ac:dyDescent="0.2">
      <c r="A510" s="3" t="s">
        <v>618</v>
      </c>
      <c r="B510" s="3" t="s">
        <v>380</v>
      </c>
      <c r="C510" s="3" t="s">
        <v>382</v>
      </c>
      <c r="D510" s="3"/>
      <c r="E510" s="11" t="s">
        <v>400</v>
      </c>
      <c r="F510" s="21">
        <f>F511</f>
        <v>5880920</v>
      </c>
      <c r="G510" s="13">
        <f>G511</f>
        <v>-5880920</v>
      </c>
      <c r="H510" s="13">
        <f>H511</f>
        <v>0</v>
      </c>
      <c r="I510" s="39">
        <f>I511</f>
        <v>0</v>
      </c>
      <c r="J510" s="39">
        <f t="shared" si="11"/>
        <v>500000</v>
      </c>
      <c r="K510" s="39">
        <f>K511</f>
        <v>500000</v>
      </c>
      <c r="L510" s="39">
        <f>L511</f>
        <v>0</v>
      </c>
      <c r="M510" s="49"/>
    </row>
    <row r="511" spans="1:15" ht="17.100000000000001" customHeight="1" x14ac:dyDescent="0.2">
      <c r="A511" s="3" t="s">
        <v>618</v>
      </c>
      <c r="B511" s="3" t="s">
        <v>488</v>
      </c>
      <c r="C511" s="3" t="s">
        <v>382</v>
      </c>
      <c r="D511" s="3" t="s">
        <v>464</v>
      </c>
      <c r="E511" s="5" t="s">
        <v>465</v>
      </c>
      <c r="F511" s="18">
        <v>5880920</v>
      </c>
      <c r="G511" s="17">
        <v>-5880920</v>
      </c>
      <c r="H511" s="17"/>
      <c r="I511" s="40">
        <v>0</v>
      </c>
      <c r="J511" s="39">
        <f t="shared" si="11"/>
        <v>500000</v>
      </c>
      <c r="K511" s="40">
        <v>500000</v>
      </c>
      <c r="L511" s="40">
        <v>0</v>
      </c>
      <c r="M511" s="50"/>
    </row>
    <row r="512" spans="1:15" ht="17.100000000000001" customHeight="1" x14ac:dyDescent="0.2">
      <c r="A512" s="29" t="s">
        <v>618</v>
      </c>
      <c r="B512" s="30" t="s">
        <v>496</v>
      </c>
      <c r="C512" s="33"/>
      <c r="D512" s="2"/>
      <c r="E512" s="31" t="s">
        <v>497</v>
      </c>
      <c r="F512" s="18"/>
      <c r="G512" s="17"/>
      <c r="H512" s="17"/>
      <c r="I512" s="40">
        <f>I513</f>
        <v>330000</v>
      </c>
      <c r="J512" s="39">
        <f t="shared" si="11"/>
        <v>37000</v>
      </c>
      <c r="K512" s="40">
        <f>K513</f>
        <v>367000</v>
      </c>
      <c r="L512" s="40">
        <f>L513</f>
        <v>0</v>
      </c>
      <c r="M512" s="50"/>
    </row>
    <row r="513" spans="1:13" ht="37.5" customHeight="1" x14ac:dyDescent="0.2">
      <c r="A513" s="29" t="s">
        <v>618</v>
      </c>
      <c r="B513" s="30" t="s">
        <v>496</v>
      </c>
      <c r="C513" s="30" t="s">
        <v>72</v>
      </c>
      <c r="D513" s="2"/>
      <c r="E513" s="5" t="s">
        <v>207</v>
      </c>
      <c r="F513" s="18"/>
      <c r="G513" s="17"/>
      <c r="H513" s="17"/>
      <c r="I513" s="40">
        <f>I514</f>
        <v>330000</v>
      </c>
      <c r="J513" s="39">
        <f t="shared" si="11"/>
        <v>37000</v>
      </c>
      <c r="K513" s="40">
        <f>K514</f>
        <v>367000</v>
      </c>
      <c r="L513" s="40">
        <f>L514</f>
        <v>0</v>
      </c>
      <c r="M513" s="50"/>
    </row>
    <row r="514" spans="1:13" ht="17.100000000000001" customHeight="1" x14ac:dyDescent="0.2">
      <c r="A514" s="29" t="s">
        <v>618</v>
      </c>
      <c r="B514" s="30" t="s">
        <v>496</v>
      </c>
      <c r="C514" s="30" t="s">
        <v>72</v>
      </c>
      <c r="D514" s="3" t="s">
        <v>464</v>
      </c>
      <c r="E514" s="31" t="s">
        <v>465</v>
      </c>
      <c r="F514" s="18"/>
      <c r="G514" s="17"/>
      <c r="H514" s="17"/>
      <c r="I514" s="40">
        <v>330000</v>
      </c>
      <c r="J514" s="39">
        <f t="shared" si="11"/>
        <v>37000</v>
      </c>
      <c r="K514" s="40">
        <v>367000</v>
      </c>
      <c r="L514" s="40">
        <v>0</v>
      </c>
      <c r="M514" s="50"/>
    </row>
    <row r="515" spans="1:13" ht="17.100000000000001" customHeight="1" x14ac:dyDescent="0.2">
      <c r="A515" s="3" t="s">
        <v>618</v>
      </c>
      <c r="B515" s="3" t="s">
        <v>519</v>
      </c>
      <c r="C515" s="2"/>
      <c r="D515" s="2"/>
      <c r="E515" s="5" t="s">
        <v>520</v>
      </c>
      <c r="F515" s="21">
        <f t="shared" ref="F515:H516" si="13">F516</f>
        <v>500000</v>
      </c>
      <c r="G515" s="13">
        <f t="shared" si="13"/>
        <v>0</v>
      </c>
      <c r="H515" s="13">
        <f t="shared" si="13"/>
        <v>0</v>
      </c>
      <c r="I515" s="39">
        <f>I516+I518</f>
        <v>500000</v>
      </c>
      <c r="J515" s="39">
        <f t="shared" si="11"/>
        <v>-500000</v>
      </c>
      <c r="K515" s="39">
        <f>K516+K518</f>
        <v>0</v>
      </c>
      <c r="L515" s="39">
        <f>L516+L518</f>
        <v>0</v>
      </c>
      <c r="M515" s="49"/>
    </row>
    <row r="516" spans="1:13" ht="36.75" customHeight="1" x14ac:dyDescent="0.2">
      <c r="A516" s="3" t="s">
        <v>618</v>
      </c>
      <c r="B516" s="3" t="s">
        <v>519</v>
      </c>
      <c r="C516" s="3" t="s">
        <v>622</v>
      </c>
      <c r="D516" s="2"/>
      <c r="E516" s="5" t="s">
        <v>623</v>
      </c>
      <c r="F516" s="21">
        <f t="shared" si="13"/>
        <v>500000</v>
      </c>
      <c r="G516" s="13">
        <f t="shared" si="13"/>
        <v>0</v>
      </c>
      <c r="H516" s="13">
        <f t="shared" si="13"/>
        <v>0</v>
      </c>
      <c r="I516" s="39">
        <f>I517</f>
        <v>500000</v>
      </c>
      <c r="J516" s="39">
        <f t="shared" si="11"/>
        <v>-500000</v>
      </c>
      <c r="K516" s="39">
        <f>K517</f>
        <v>0</v>
      </c>
      <c r="L516" s="39">
        <f>L517</f>
        <v>0</v>
      </c>
      <c r="M516" s="49"/>
    </row>
    <row r="517" spans="1:13" ht="17.100000000000001" customHeight="1" x14ac:dyDescent="0.2">
      <c r="A517" s="3" t="s">
        <v>618</v>
      </c>
      <c r="B517" s="3" t="s">
        <v>519</v>
      </c>
      <c r="C517" s="3" t="s">
        <v>622</v>
      </c>
      <c r="D517" s="3" t="s">
        <v>624</v>
      </c>
      <c r="E517" s="5" t="s">
        <v>625</v>
      </c>
      <c r="F517" s="18">
        <v>500000</v>
      </c>
      <c r="G517" s="17"/>
      <c r="H517" s="17"/>
      <c r="I517" s="40">
        <v>500000</v>
      </c>
      <c r="J517" s="39">
        <f t="shared" si="11"/>
        <v>-500000</v>
      </c>
      <c r="K517" s="40">
        <v>0</v>
      </c>
      <c r="L517" s="40">
        <v>0</v>
      </c>
      <c r="M517" s="50"/>
    </row>
    <row r="518" spans="1:13" ht="35.25" hidden="1" customHeight="1" x14ac:dyDescent="0.2">
      <c r="A518" s="3" t="s">
        <v>618</v>
      </c>
      <c r="B518" s="3" t="s">
        <v>519</v>
      </c>
      <c r="C518" s="3" t="s">
        <v>175</v>
      </c>
      <c r="D518" s="2"/>
      <c r="E518" s="5" t="s">
        <v>185</v>
      </c>
      <c r="F518" s="18"/>
      <c r="G518" s="17"/>
      <c r="H518" s="17"/>
      <c r="I518" s="40">
        <f>I519</f>
        <v>0</v>
      </c>
      <c r="J518" s="39">
        <f t="shared" si="11"/>
        <v>0</v>
      </c>
      <c r="K518" s="40">
        <f>K519</f>
        <v>0</v>
      </c>
      <c r="L518" s="40">
        <f>L519</f>
        <v>0</v>
      </c>
      <c r="M518" s="50"/>
    </row>
    <row r="519" spans="1:13" ht="17.100000000000001" hidden="1" customHeight="1" x14ac:dyDescent="0.2">
      <c r="A519" s="3" t="s">
        <v>618</v>
      </c>
      <c r="B519" s="3" t="s">
        <v>519</v>
      </c>
      <c r="C519" s="3" t="s">
        <v>175</v>
      </c>
      <c r="D519" s="3" t="s">
        <v>624</v>
      </c>
      <c r="E519" s="5" t="s">
        <v>625</v>
      </c>
      <c r="F519" s="18"/>
      <c r="G519" s="17"/>
      <c r="H519" s="17"/>
      <c r="I519" s="40">
        <v>0</v>
      </c>
      <c r="J519" s="39">
        <f t="shared" si="11"/>
        <v>0</v>
      </c>
      <c r="K519" s="40">
        <v>0</v>
      </c>
      <c r="L519" s="40">
        <v>0</v>
      </c>
      <c r="M519" s="50"/>
    </row>
    <row r="520" spans="1:13" ht="17.100000000000001" customHeight="1" x14ac:dyDescent="0.2">
      <c r="A520" s="3" t="s">
        <v>618</v>
      </c>
      <c r="B520" s="3" t="s">
        <v>626</v>
      </c>
      <c r="C520" s="2"/>
      <c r="D520" s="2"/>
      <c r="E520" s="5" t="s">
        <v>627</v>
      </c>
      <c r="F520" s="15">
        <f>F521+F523+F525</f>
        <v>1921000</v>
      </c>
      <c r="G520" s="13">
        <f>G521+G523+G525</f>
        <v>703000</v>
      </c>
      <c r="H520" s="13">
        <f>H521+H523+H525</f>
        <v>0</v>
      </c>
      <c r="I520" s="39">
        <f>I521+I523+I525+I527+I533+I535+I539+I529+I552+I531+I537+I541</f>
        <v>2464000</v>
      </c>
      <c r="J520" s="39">
        <f t="shared" ref="J520:J583" si="14">K520-I520</f>
        <v>236000</v>
      </c>
      <c r="K520" s="39">
        <f>K521+K523+K525+K527+K533+K535+K539+K529+K552+K531+K537+K541</f>
        <v>2700000</v>
      </c>
      <c r="L520" s="39">
        <f>L521+L523+L525+L527+L533+L535+L539+L529+L552+L531+L537+L541</f>
        <v>1950000</v>
      </c>
      <c r="M520" s="49"/>
    </row>
    <row r="521" spans="1:13" ht="35.25" hidden="1" customHeight="1" x14ac:dyDescent="0.2">
      <c r="A521" s="3" t="s">
        <v>618</v>
      </c>
      <c r="B521" s="3" t="s">
        <v>626</v>
      </c>
      <c r="C521" s="3" t="s">
        <v>628</v>
      </c>
      <c r="D521" s="2"/>
      <c r="E521" s="5" t="s">
        <v>629</v>
      </c>
      <c r="F521" s="21">
        <f>F522</f>
        <v>665000</v>
      </c>
      <c r="G521" s="13">
        <f>G522</f>
        <v>-665000</v>
      </c>
      <c r="H521" s="13">
        <f>H522</f>
        <v>0</v>
      </c>
      <c r="I521" s="39">
        <f>I522</f>
        <v>0</v>
      </c>
      <c r="J521" s="39">
        <f t="shared" si="14"/>
        <v>0</v>
      </c>
      <c r="K521" s="39">
        <f>K522</f>
        <v>0</v>
      </c>
      <c r="L521" s="39">
        <f>L522</f>
        <v>0</v>
      </c>
      <c r="M521" s="49"/>
    </row>
    <row r="522" spans="1:13" ht="18" hidden="1" customHeight="1" x14ac:dyDescent="0.2">
      <c r="A522" s="3" t="s">
        <v>618</v>
      </c>
      <c r="B522" s="3" t="s">
        <v>626</v>
      </c>
      <c r="C522" s="3" t="s">
        <v>628</v>
      </c>
      <c r="D522" s="3" t="s">
        <v>624</v>
      </c>
      <c r="E522" s="5" t="s">
        <v>625</v>
      </c>
      <c r="F522" s="18">
        <v>665000</v>
      </c>
      <c r="G522" s="17">
        <v>-665000</v>
      </c>
      <c r="H522" s="17"/>
      <c r="I522" s="40">
        <v>0</v>
      </c>
      <c r="J522" s="39">
        <f t="shared" si="14"/>
        <v>0</v>
      </c>
      <c r="K522" s="40">
        <v>0</v>
      </c>
      <c r="L522" s="40">
        <v>0</v>
      </c>
      <c r="M522" s="50"/>
    </row>
    <row r="523" spans="1:13" ht="45" customHeight="1" x14ac:dyDescent="0.2">
      <c r="A523" s="3" t="s">
        <v>618</v>
      </c>
      <c r="B523" s="3" t="s">
        <v>626</v>
      </c>
      <c r="C523" s="3" t="s">
        <v>630</v>
      </c>
      <c r="D523" s="2"/>
      <c r="E523" s="5" t="s">
        <v>631</v>
      </c>
      <c r="F523" s="18">
        <f>F524</f>
        <v>756000</v>
      </c>
      <c r="G523" s="19">
        <f>G524</f>
        <v>-756000</v>
      </c>
      <c r="H523" s="19">
        <f>H524</f>
        <v>0</v>
      </c>
      <c r="I523" s="41">
        <f>I524</f>
        <v>0</v>
      </c>
      <c r="J523" s="39">
        <f t="shared" si="14"/>
        <v>1000000</v>
      </c>
      <c r="K523" s="41">
        <f>K524</f>
        <v>1000000</v>
      </c>
      <c r="L523" s="41">
        <f>L524</f>
        <v>1000000</v>
      </c>
      <c r="M523" s="51"/>
    </row>
    <row r="524" spans="1:13" ht="17.100000000000001" customHeight="1" x14ac:dyDescent="0.2">
      <c r="A524" s="3" t="s">
        <v>618</v>
      </c>
      <c r="B524" s="3" t="s">
        <v>626</v>
      </c>
      <c r="C524" s="3" t="s">
        <v>630</v>
      </c>
      <c r="D524" s="3" t="s">
        <v>624</v>
      </c>
      <c r="E524" s="5" t="s">
        <v>625</v>
      </c>
      <c r="F524" s="18">
        <v>756000</v>
      </c>
      <c r="G524" s="17">
        <v>-756000</v>
      </c>
      <c r="H524" s="17"/>
      <c r="I524" s="40"/>
      <c r="J524" s="39">
        <f t="shared" si="14"/>
        <v>1000000</v>
      </c>
      <c r="K524" s="40">
        <v>1000000</v>
      </c>
      <c r="L524" s="40">
        <v>1000000</v>
      </c>
      <c r="M524" s="50"/>
    </row>
    <row r="525" spans="1:13" ht="26.25" customHeight="1" x14ac:dyDescent="0.2">
      <c r="A525" s="3" t="s">
        <v>618</v>
      </c>
      <c r="B525" s="3" t="s">
        <v>626</v>
      </c>
      <c r="C525" s="3" t="s">
        <v>632</v>
      </c>
      <c r="D525" s="2"/>
      <c r="E525" s="5" t="s">
        <v>253</v>
      </c>
      <c r="F525" s="18">
        <f>F526</f>
        <v>500000</v>
      </c>
      <c r="G525" s="19">
        <f>G526</f>
        <v>2124000</v>
      </c>
      <c r="H525" s="19">
        <f>H526</f>
        <v>0</v>
      </c>
      <c r="I525" s="41">
        <f>I526</f>
        <v>2464000</v>
      </c>
      <c r="J525" s="39">
        <f t="shared" si="14"/>
        <v>-2464000</v>
      </c>
      <c r="K525" s="41">
        <f>K526</f>
        <v>0</v>
      </c>
      <c r="L525" s="41">
        <f>L526</f>
        <v>0</v>
      </c>
      <c r="M525" s="51"/>
    </row>
    <row r="526" spans="1:13" ht="17.100000000000001" customHeight="1" x14ac:dyDescent="0.2">
      <c r="A526" s="3" t="s">
        <v>618</v>
      </c>
      <c r="B526" s="3" t="s">
        <v>626</v>
      </c>
      <c r="C526" s="3" t="s">
        <v>632</v>
      </c>
      <c r="D526" s="3" t="s">
        <v>624</v>
      </c>
      <c r="E526" s="5" t="s">
        <v>625</v>
      </c>
      <c r="F526" s="18">
        <v>500000</v>
      </c>
      <c r="G526" s="17">
        <f>1374000+750000</f>
        <v>2124000</v>
      </c>
      <c r="H526" s="17"/>
      <c r="I526" s="40">
        <v>2464000</v>
      </c>
      <c r="J526" s="39">
        <f t="shared" si="14"/>
        <v>-2464000</v>
      </c>
      <c r="K526" s="40">
        <v>0</v>
      </c>
      <c r="L526" s="40">
        <v>0</v>
      </c>
      <c r="M526" s="50"/>
    </row>
    <row r="527" spans="1:13" ht="27" hidden="1" customHeight="1" x14ac:dyDescent="0.2">
      <c r="A527" s="3" t="s">
        <v>618</v>
      </c>
      <c r="B527" s="3" t="s">
        <v>626</v>
      </c>
      <c r="C527" s="3" t="s">
        <v>186</v>
      </c>
      <c r="D527" s="3"/>
      <c r="E527" s="5" t="s">
        <v>254</v>
      </c>
      <c r="F527" s="18"/>
      <c r="G527" s="17"/>
      <c r="H527" s="17"/>
      <c r="I527" s="40">
        <f>I528</f>
        <v>0</v>
      </c>
      <c r="J527" s="39">
        <f t="shared" si="14"/>
        <v>0</v>
      </c>
      <c r="K527" s="40">
        <f>K528</f>
        <v>0</v>
      </c>
      <c r="L527" s="40">
        <f>L528</f>
        <v>0</v>
      </c>
      <c r="M527" s="50"/>
    </row>
    <row r="528" spans="1:13" ht="17.100000000000001" hidden="1" customHeight="1" x14ac:dyDescent="0.2">
      <c r="A528" s="3" t="s">
        <v>618</v>
      </c>
      <c r="B528" s="3" t="s">
        <v>626</v>
      </c>
      <c r="C528" s="3" t="s">
        <v>186</v>
      </c>
      <c r="D528" s="3" t="s">
        <v>624</v>
      </c>
      <c r="E528" s="5" t="s">
        <v>625</v>
      </c>
      <c r="F528" s="18"/>
      <c r="G528" s="17"/>
      <c r="H528" s="17"/>
      <c r="I528" s="40"/>
      <c r="J528" s="39">
        <f t="shared" si="14"/>
        <v>0</v>
      </c>
      <c r="K528" s="40"/>
      <c r="L528" s="40"/>
      <c r="M528" s="50"/>
    </row>
    <row r="529" spans="1:13" ht="27" hidden="1" customHeight="1" x14ac:dyDescent="0.2">
      <c r="A529" s="3" t="s">
        <v>618</v>
      </c>
      <c r="B529" s="3" t="s">
        <v>626</v>
      </c>
      <c r="C529" s="3" t="s">
        <v>285</v>
      </c>
      <c r="D529" s="3"/>
      <c r="E529" s="31" t="s">
        <v>297</v>
      </c>
      <c r="F529" s="18"/>
      <c r="G529" s="17"/>
      <c r="H529" s="17"/>
      <c r="I529" s="40">
        <f>I530</f>
        <v>0</v>
      </c>
      <c r="J529" s="39">
        <f t="shared" si="14"/>
        <v>0</v>
      </c>
      <c r="K529" s="40">
        <f>K530</f>
        <v>0</v>
      </c>
      <c r="L529" s="40">
        <f>L530</f>
        <v>0</v>
      </c>
      <c r="M529" s="50"/>
    </row>
    <row r="530" spans="1:13" ht="17.100000000000001" hidden="1" customHeight="1" x14ac:dyDescent="0.2">
      <c r="A530" s="3" t="s">
        <v>618</v>
      </c>
      <c r="B530" s="3" t="s">
        <v>626</v>
      </c>
      <c r="C530" s="3" t="s">
        <v>285</v>
      </c>
      <c r="D530" s="3" t="s">
        <v>624</v>
      </c>
      <c r="E530" s="31" t="s">
        <v>625</v>
      </c>
      <c r="F530" s="18"/>
      <c r="G530" s="17"/>
      <c r="H530" s="17"/>
      <c r="I530" s="40"/>
      <c r="J530" s="39">
        <f t="shared" si="14"/>
        <v>0</v>
      </c>
      <c r="K530" s="40"/>
      <c r="L530" s="40"/>
      <c r="M530" s="50"/>
    </row>
    <row r="531" spans="1:13" ht="33.75" hidden="1" customHeight="1" x14ac:dyDescent="0.2">
      <c r="A531" s="3" t="s">
        <v>618</v>
      </c>
      <c r="B531" s="3" t="s">
        <v>626</v>
      </c>
      <c r="C531" s="3" t="s">
        <v>321</v>
      </c>
      <c r="D531" s="3"/>
      <c r="E531" s="31" t="s">
        <v>349</v>
      </c>
      <c r="F531" s="18"/>
      <c r="G531" s="17"/>
      <c r="H531" s="17"/>
      <c r="I531" s="40">
        <f>I532</f>
        <v>0</v>
      </c>
      <c r="J531" s="39">
        <f t="shared" si="14"/>
        <v>0</v>
      </c>
      <c r="K531" s="40">
        <f>K532</f>
        <v>0</v>
      </c>
      <c r="L531" s="40">
        <f>L532</f>
        <v>0</v>
      </c>
      <c r="M531" s="50"/>
    </row>
    <row r="532" spans="1:13" ht="17.100000000000001" hidden="1" customHeight="1" x14ac:dyDescent="0.2">
      <c r="A532" s="3" t="s">
        <v>618</v>
      </c>
      <c r="B532" s="3" t="s">
        <v>626</v>
      </c>
      <c r="C532" s="3" t="s">
        <v>321</v>
      </c>
      <c r="D532" s="3" t="s">
        <v>624</v>
      </c>
      <c r="E532" s="31" t="s">
        <v>625</v>
      </c>
      <c r="F532" s="18"/>
      <c r="G532" s="17"/>
      <c r="H532" s="17"/>
      <c r="I532" s="40"/>
      <c r="J532" s="39">
        <f t="shared" si="14"/>
        <v>0</v>
      </c>
      <c r="K532" s="40"/>
      <c r="L532" s="40"/>
      <c r="M532" s="50"/>
    </row>
    <row r="533" spans="1:13" ht="33" hidden="1" customHeight="1" x14ac:dyDescent="0.2">
      <c r="A533" s="3" t="s">
        <v>618</v>
      </c>
      <c r="B533" s="3" t="s">
        <v>626</v>
      </c>
      <c r="C533" s="3" t="s">
        <v>187</v>
      </c>
      <c r="D533" s="3"/>
      <c r="E533" s="5" t="s">
        <v>255</v>
      </c>
      <c r="F533" s="18"/>
      <c r="G533" s="17"/>
      <c r="H533" s="17"/>
      <c r="I533" s="40">
        <f>I534</f>
        <v>0</v>
      </c>
      <c r="J533" s="39">
        <f t="shared" si="14"/>
        <v>0</v>
      </c>
      <c r="K533" s="40">
        <f>K534</f>
        <v>0</v>
      </c>
      <c r="L533" s="40">
        <f>L534</f>
        <v>0</v>
      </c>
      <c r="M533" s="50"/>
    </row>
    <row r="534" spans="1:13" ht="17.100000000000001" hidden="1" customHeight="1" x14ac:dyDescent="0.2">
      <c r="A534" s="3" t="s">
        <v>618</v>
      </c>
      <c r="B534" s="3" t="s">
        <v>626</v>
      </c>
      <c r="C534" s="3" t="s">
        <v>187</v>
      </c>
      <c r="D534" s="3" t="s">
        <v>624</v>
      </c>
      <c r="E534" s="5" t="s">
        <v>625</v>
      </c>
      <c r="F534" s="18"/>
      <c r="G534" s="17"/>
      <c r="H534" s="17"/>
      <c r="I534" s="40"/>
      <c r="J534" s="39">
        <f t="shared" si="14"/>
        <v>0</v>
      </c>
      <c r="K534" s="40"/>
      <c r="L534" s="40"/>
      <c r="M534" s="50"/>
    </row>
    <row r="535" spans="1:13" ht="25.5" hidden="1" customHeight="1" x14ac:dyDescent="0.2">
      <c r="A535" s="3" t="s">
        <v>618</v>
      </c>
      <c r="B535" s="3" t="s">
        <v>626</v>
      </c>
      <c r="C535" s="3" t="s">
        <v>360</v>
      </c>
      <c r="D535" s="3"/>
      <c r="E535" s="31" t="s">
        <v>371</v>
      </c>
      <c r="F535" s="18"/>
      <c r="G535" s="17"/>
      <c r="H535" s="17"/>
      <c r="I535" s="40">
        <f>I536</f>
        <v>0</v>
      </c>
      <c r="J535" s="39">
        <f t="shared" si="14"/>
        <v>0</v>
      </c>
      <c r="K535" s="40">
        <f>K536</f>
        <v>0</v>
      </c>
      <c r="L535" s="40">
        <f>L536</f>
        <v>0</v>
      </c>
      <c r="M535" s="50"/>
    </row>
    <row r="536" spans="1:13" ht="17.100000000000001" hidden="1" customHeight="1" x14ac:dyDescent="0.2">
      <c r="A536" s="3" t="s">
        <v>618</v>
      </c>
      <c r="B536" s="3" t="s">
        <v>626</v>
      </c>
      <c r="C536" s="3" t="s">
        <v>360</v>
      </c>
      <c r="D536" s="3" t="s">
        <v>624</v>
      </c>
      <c r="E536" s="31" t="s">
        <v>625</v>
      </c>
      <c r="F536" s="18"/>
      <c r="G536" s="17"/>
      <c r="H536" s="17"/>
      <c r="I536" s="40"/>
      <c r="J536" s="39">
        <f t="shared" si="14"/>
        <v>0</v>
      </c>
      <c r="K536" s="40"/>
      <c r="L536" s="40"/>
      <c r="M536" s="50"/>
    </row>
    <row r="537" spans="1:13" ht="29.25" customHeight="1" x14ac:dyDescent="0.2">
      <c r="A537" s="3" t="s">
        <v>618</v>
      </c>
      <c r="B537" s="3" t="s">
        <v>626</v>
      </c>
      <c r="C537" s="3" t="s">
        <v>179</v>
      </c>
      <c r="D537" s="3"/>
      <c r="E537" s="57" t="s">
        <v>384</v>
      </c>
      <c r="F537" s="18"/>
      <c r="G537" s="17"/>
      <c r="H537" s="17"/>
      <c r="I537" s="40">
        <f>I538</f>
        <v>0</v>
      </c>
      <c r="J537" s="39">
        <f t="shared" si="14"/>
        <v>450000</v>
      </c>
      <c r="K537" s="40">
        <f>K538</f>
        <v>450000</v>
      </c>
      <c r="L537" s="40">
        <f>L538</f>
        <v>450000</v>
      </c>
      <c r="M537" s="50"/>
    </row>
    <row r="538" spans="1:13" ht="17.100000000000001" customHeight="1" x14ac:dyDescent="0.2">
      <c r="A538" s="3" t="s">
        <v>618</v>
      </c>
      <c r="B538" s="3" t="s">
        <v>626</v>
      </c>
      <c r="C538" s="3" t="s">
        <v>179</v>
      </c>
      <c r="D538" s="3" t="s">
        <v>482</v>
      </c>
      <c r="E538" s="5" t="s">
        <v>483</v>
      </c>
      <c r="F538" s="18"/>
      <c r="G538" s="17"/>
      <c r="H538" s="17"/>
      <c r="I538" s="40">
        <v>0</v>
      </c>
      <c r="J538" s="39">
        <f t="shared" si="14"/>
        <v>450000</v>
      </c>
      <c r="K538" s="40">
        <v>450000</v>
      </c>
      <c r="L538" s="40">
        <v>450000</v>
      </c>
      <c r="M538" s="50"/>
    </row>
    <row r="539" spans="1:13" ht="33.75" customHeight="1" x14ac:dyDescent="0.2">
      <c r="A539" s="3" t="s">
        <v>618</v>
      </c>
      <c r="B539" s="3" t="s">
        <v>626</v>
      </c>
      <c r="C539" s="3" t="s">
        <v>188</v>
      </c>
      <c r="D539" s="3"/>
      <c r="E539" s="5" t="s">
        <v>256</v>
      </c>
      <c r="F539" s="18"/>
      <c r="G539" s="17"/>
      <c r="H539" s="17"/>
      <c r="I539" s="40">
        <f>I540</f>
        <v>0</v>
      </c>
      <c r="J539" s="39">
        <f t="shared" si="14"/>
        <v>500000</v>
      </c>
      <c r="K539" s="40">
        <f>K540</f>
        <v>500000</v>
      </c>
      <c r="L539" s="40">
        <f>L540</f>
        <v>500000</v>
      </c>
      <c r="M539" s="49"/>
    </row>
    <row r="540" spans="1:13" ht="17.100000000000001" customHeight="1" x14ac:dyDescent="0.2">
      <c r="A540" s="3" t="s">
        <v>618</v>
      </c>
      <c r="B540" s="3" t="s">
        <v>626</v>
      </c>
      <c r="C540" s="3" t="s">
        <v>188</v>
      </c>
      <c r="D540" s="3" t="s">
        <v>482</v>
      </c>
      <c r="E540" s="5" t="s">
        <v>483</v>
      </c>
      <c r="F540" s="18"/>
      <c r="G540" s="17"/>
      <c r="H540" s="17"/>
      <c r="I540" s="40">
        <v>0</v>
      </c>
      <c r="J540" s="39">
        <f t="shared" si="14"/>
        <v>500000</v>
      </c>
      <c r="K540" s="40">
        <v>500000</v>
      </c>
      <c r="L540" s="40">
        <v>500000</v>
      </c>
      <c r="M540" s="49"/>
    </row>
    <row r="541" spans="1:13" ht="27.75" customHeight="1" x14ac:dyDescent="0.2">
      <c r="A541" s="3" t="s">
        <v>618</v>
      </c>
      <c r="B541" s="3" t="s">
        <v>626</v>
      </c>
      <c r="C541" s="3" t="s">
        <v>383</v>
      </c>
      <c r="D541" s="3"/>
      <c r="E541" s="58" t="s">
        <v>385</v>
      </c>
      <c r="F541" s="18"/>
      <c r="G541" s="17"/>
      <c r="H541" s="17"/>
      <c r="I541" s="40">
        <f>I542</f>
        <v>0</v>
      </c>
      <c r="J541" s="39">
        <f t="shared" si="14"/>
        <v>750000</v>
      </c>
      <c r="K541" s="40">
        <f>K542</f>
        <v>750000</v>
      </c>
      <c r="L541" s="40">
        <f>L542</f>
        <v>0</v>
      </c>
      <c r="M541" s="49"/>
    </row>
    <row r="542" spans="1:13" ht="17.100000000000001" customHeight="1" x14ac:dyDescent="0.2">
      <c r="A542" s="3" t="s">
        <v>618</v>
      </c>
      <c r="B542" s="3" t="s">
        <v>626</v>
      </c>
      <c r="C542" s="3" t="s">
        <v>383</v>
      </c>
      <c r="D542" s="3" t="s">
        <v>482</v>
      </c>
      <c r="E542" s="5" t="s">
        <v>483</v>
      </c>
      <c r="F542" s="18"/>
      <c r="G542" s="17"/>
      <c r="H542" s="17"/>
      <c r="I542" s="40">
        <v>0</v>
      </c>
      <c r="J542" s="39">
        <f t="shared" si="14"/>
        <v>750000</v>
      </c>
      <c r="K542" s="40">
        <v>750000</v>
      </c>
      <c r="L542" s="40">
        <v>0</v>
      </c>
      <c r="M542" s="49"/>
    </row>
    <row r="543" spans="1:13" ht="17.100000000000001" hidden="1" customHeight="1" x14ac:dyDescent="0.2">
      <c r="A543" s="3" t="s">
        <v>618</v>
      </c>
      <c r="B543" s="3" t="s">
        <v>633</v>
      </c>
      <c r="C543" s="2"/>
      <c r="D543" s="2"/>
      <c r="E543" s="5" t="s">
        <v>634</v>
      </c>
      <c r="F543" s="21">
        <f t="shared" ref="F543:I544" si="15">F544</f>
        <v>2500000</v>
      </c>
      <c r="G543" s="13">
        <f t="shared" si="15"/>
        <v>-2500000</v>
      </c>
      <c r="H543" s="13">
        <f t="shared" si="15"/>
        <v>0</v>
      </c>
      <c r="I543" s="39">
        <f t="shared" si="15"/>
        <v>0</v>
      </c>
      <c r="J543" s="39">
        <f t="shared" si="14"/>
        <v>0</v>
      </c>
      <c r="K543" s="39">
        <f>K544</f>
        <v>0</v>
      </c>
      <c r="L543" s="39">
        <f>L544</f>
        <v>0</v>
      </c>
      <c r="M543" s="50"/>
    </row>
    <row r="544" spans="1:13" ht="30" hidden="1" customHeight="1" x14ac:dyDescent="0.2">
      <c r="A544" s="3" t="s">
        <v>618</v>
      </c>
      <c r="B544" s="3" t="s">
        <v>633</v>
      </c>
      <c r="C544" s="3" t="s">
        <v>635</v>
      </c>
      <c r="D544" s="2"/>
      <c r="E544" s="5" t="s">
        <v>636</v>
      </c>
      <c r="F544" s="21">
        <f t="shared" si="15"/>
        <v>2500000</v>
      </c>
      <c r="G544" s="13">
        <f t="shared" si="15"/>
        <v>-2500000</v>
      </c>
      <c r="H544" s="13">
        <f t="shared" si="15"/>
        <v>0</v>
      </c>
      <c r="I544" s="39">
        <f t="shared" si="15"/>
        <v>0</v>
      </c>
      <c r="J544" s="39">
        <f t="shared" si="14"/>
        <v>0</v>
      </c>
      <c r="K544" s="39">
        <f>K545</f>
        <v>0</v>
      </c>
      <c r="L544" s="39">
        <f>L545</f>
        <v>0</v>
      </c>
      <c r="M544" s="50"/>
    </row>
    <row r="545" spans="1:13" ht="17.100000000000001" hidden="1" customHeight="1" x14ac:dyDescent="0.2">
      <c r="A545" s="3" t="s">
        <v>618</v>
      </c>
      <c r="B545" s="3" t="s">
        <v>633</v>
      </c>
      <c r="C545" s="3" t="s">
        <v>635</v>
      </c>
      <c r="D545" s="3" t="s">
        <v>464</v>
      </c>
      <c r="E545" s="5" t="s">
        <v>465</v>
      </c>
      <c r="F545" s="18">
        <v>2500000</v>
      </c>
      <c r="G545" s="17">
        <v>-2500000</v>
      </c>
      <c r="H545" s="17"/>
      <c r="I545" s="40">
        <v>0</v>
      </c>
      <c r="J545" s="39">
        <f t="shared" si="14"/>
        <v>0</v>
      </c>
      <c r="K545" s="40">
        <v>0</v>
      </c>
      <c r="L545" s="40">
        <v>0</v>
      </c>
      <c r="M545" s="50"/>
    </row>
    <row r="546" spans="1:13" ht="17.100000000000001" customHeight="1" x14ac:dyDescent="0.2">
      <c r="A546" s="29" t="s">
        <v>618</v>
      </c>
      <c r="B546" s="30" t="s">
        <v>528</v>
      </c>
      <c r="C546" s="33"/>
      <c r="D546" s="2"/>
      <c r="E546" s="31" t="s">
        <v>529</v>
      </c>
      <c r="F546" s="18"/>
      <c r="G546" s="17"/>
      <c r="H546" s="17"/>
      <c r="I546" s="40">
        <f>I547</f>
        <v>573900</v>
      </c>
      <c r="J546" s="39">
        <f t="shared" si="14"/>
        <v>-573900</v>
      </c>
      <c r="K546" s="40">
        <f>K547</f>
        <v>0</v>
      </c>
      <c r="L546" s="40">
        <f>L547</f>
        <v>0</v>
      </c>
      <c r="M546" s="50"/>
    </row>
    <row r="547" spans="1:13" ht="19.5" customHeight="1" x14ac:dyDescent="0.2">
      <c r="A547" s="29" t="s">
        <v>618</v>
      </c>
      <c r="B547" s="30" t="s">
        <v>528</v>
      </c>
      <c r="C547" s="30" t="s">
        <v>135</v>
      </c>
      <c r="D547" s="2"/>
      <c r="E547" s="5" t="s">
        <v>171</v>
      </c>
      <c r="F547" s="18"/>
      <c r="G547" s="17"/>
      <c r="H547" s="17"/>
      <c r="I547" s="40">
        <f>I548</f>
        <v>573900</v>
      </c>
      <c r="J547" s="39">
        <f t="shared" si="14"/>
        <v>-573900</v>
      </c>
      <c r="K547" s="40">
        <f>K548</f>
        <v>0</v>
      </c>
      <c r="L547" s="40">
        <f>L548</f>
        <v>0</v>
      </c>
      <c r="M547" s="50"/>
    </row>
    <row r="548" spans="1:13" ht="17.100000000000001" customHeight="1" x14ac:dyDescent="0.2">
      <c r="A548" s="29" t="s">
        <v>618</v>
      </c>
      <c r="B548" s="30" t="s">
        <v>528</v>
      </c>
      <c r="C548" s="30" t="s">
        <v>135</v>
      </c>
      <c r="D548" s="3" t="s">
        <v>624</v>
      </c>
      <c r="E548" s="31" t="s">
        <v>625</v>
      </c>
      <c r="F548" s="18"/>
      <c r="G548" s="17"/>
      <c r="H548" s="17"/>
      <c r="I548" s="40">
        <v>573900</v>
      </c>
      <c r="J548" s="39">
        <f t="shared" si="14"/>
        <v>-573900</v>
      </c>
      <c r="K548" s="40">
        <v>0</v>
      </c>
      <c r="L548" s="40">
        <v>0</v>
      </c>
      <c r="M548" s="50"/>
    </row>
    <row r="549" spans="1:13" ht="17.100000000000001" customHeight="1" x14ac:dyDescent="0.2">
      <c r="A549" s="29" t="s">
        <v>618</v>
      </c>
      <c r="B549" s="30" t="s">
        <v>573</v>
      </c>
      <c r="C549" s="33"/>
      <c r="D549" s="2"/>
      <c r="E549" s="31" t="s">
        <v>574</v>
      </c>
      <c r="F549" s="18"/>
      <c r="G549" s="17"/>
      <c r="H549" s="17"/>
      <c r="I549" s="40">
        <f>I550</f>
        <v>200000</v>
      </c>
      <c r="J549" s="39">
        <f t="shared" si="14"/>
        <v>-200000</v>
      </c>
      <c r="K549" s="40">
        <f>K550</f>
        <v>0</v>
      </c>
      <c r="L549" s="40">
        <f>L550</f>
        <v>0</v>
      </c>
      <c r="M549" s="50"/>
    </row>
    <row r="550" spans="1:13" ht="24" customHeight="1" x14ac:dyDescent="0.2">
      <c r="A550" s="29" t="s">
        <v>618</v>
      </c>
      <c r="B550" s="30" t="s">
        <v>573</v>
      </c>
      <c r="C550" s="30" t="s">
        <v>136</v>
      </c>
      <c r="D550" s="2"/>
      <c r="E550" s="31" t="s">
        <v>172</v>
      </c>
      <c r="F550" s="18"/>
      <c r="G550" s="17"/>
      <c r="H550" s="17"/>
      <c r="I550" s="40">
        <f>I551</f>
        <v>200000</v>
      </c>
      <c r="J550" s="39">
        <f t="shared" si="14"/>
        <v>-200000</v>
      </c>
      <c r="K550" s="40">
        <f>K551</f>
        <v>0</v>
      </c>
      <c r="L550" s="40">
        <f>L551</f>
        <v>0</v>
      </c>
      <c r="M550" s="50"/>
    </row>
    <row r="551" spans="1:13" ht="17.100000000000001" customHeight="1" x14ac:dyDescent="0.2">
      <c r="A551" s="29" t="s">
        <v>618</v>
      </c>
      <c r="B551" s="30" t="s">
        <v>573</v>
      </c>
      <c r="C551" s="30" t="s">
        <v>136</v>
      </c>
      <c r="D551" s="3" t="s">
        <v>624</v>
      </c>
      <c r="E551" s="31" t="s">
        <v>625</v>
      </c>
      <c r="F551" s="18"/>
      <c r="G551" s="17"/>
      <c r="H551" s="17"/>
      <c r="I551" s="40">
        <v>200000</v>
      </c>
      <c r="J551" s="39">
        <f t="shared" si="14"/>
        <v>-200000</v>
      </c>
      <c r="K551" s="40">
        <v>0</v>
      </c>
      <c r="L551" s="40">
        <v>0</v>
      </c>
      <c r="M551" s="50"/>
    </row>
    <row r="552" spans="1:13" ht="24.75" hidden="1" customHeight="1" x14ac:dyDescent="0.2">
      <c r="A552" s="3" t="s">
        <v>618</v>
      </c>
      <c r="B552" s="3" t="s">
        <v>626</v>
      </c>
      <c r="C552" s="30" t="s">
        <v>286</v>
      </c>
      <c r="D552" s="3"/>
      <c r="E552" s="31" t="s">
        <v>298</v>
      </c>
      <c r="F552" s="18"/>
      <c r="G552" s="17"/>
      <c r="H552" s="17"/>
      <c r="I552" s="40">
        <f>I553</f>
        <v>0</v>
      </c>
      <c r="J552" s="39">
        <f t="shared" si="14"/>
        <v>0</v>
      </c>
      <c r="K552" s="40">
        <f>K553</f>
        <v>0</v>
      </c>
      <c r="L552" s="40">
        <f>L553</f>
        <v>0</v>
      </c>
      <c r="M552" s="49"/>
    </row>
    <row r="553" spans="1:13" ht="17.100000000000001" hidden="1" customHeight="1" x14ac:dyDescent="0.2">
      <c r="A553" s="3" t="s">
        <v>618</v>
      </c>
      <c r="B553" s="3" t="s">
        <v>626</v>
      </c>
      <c r="C553" s="30" t="s">
        <v>286</v>
      </c>
      <c r="D553" s="3" t="s">
        <v>624</v>
      </c>
      <c r="E553" s="31" t="s">
        <v>625</v>
      </c>
      <c r="F553" s="18"/>
      <c r="G553" s="17"/>
      <c r="H553" s="17"/>
      <c r="I553" s="40">
        <v>0</v>
      </c>
      <c r="J553" s="39">
        <f t="shared" si="14"/>
        <v>0</v>
      </c>
      <c r="K553" s="40">
        <v>0</v>
      </c>
      <c r="L553" s="40">
        <v>0</v>
      </c>
      <c r="M553" s="49"/>
    </row>
    <row r="554" spans="1:13" ht="17.100000000000001" customHeight="1" x14ac:dyDescent="0.2">
      <c r="A554" s="3" t="s">
        <v>618</v>
      </c>
      <c r="B554" s="3" t="s">
        <v>637</v>
      </c>
      <c r="C554" s="2"/>
      <c r="D554" s="2"/>
      <c r="E554" s="5" t="s">
        <v>638</v>
      </c>
      <c r="F554" s="21">
        <f t="shared" ref="F554:I555" si="16">F555</f>
        <v>1645900</v>
      </c>
      <c r="G554" s="13">
        <f t="shared" si="16"/>
        <v>0</v>
      </c>
      <c r="H554" s="13">
        <f t="shared" si="16"/>
        <v>0</v>
      </c>
      <c r="I554" s="39">
        <f t="shared" si="16"/>
        <v>1036000</v>
      </c>
      <c r="J554" s="39">
        <f t="shared" si="14"/>
        <v>800000</v>
      </c>
      <c r="K554" s="39">
        <f>K555</f>
        <v>1836000</v>
      </c>
      <c r="L554" s="39">
        <f>L555</f>
        <v>1836000</v>
      </c>
      <c r="M554" s="50"/>
    </row>
    <row r="555" spans="1:13" ht="26.25" customHeight="1" x14ac:dyDescent="0.2">
      <c r="A555" s="3" t="s">
        <v>618</v>
      </c>
      <c r="B555" s="3" t="s">
        <v>637</v>
      </c>
      <c r="C555" s="3" t="s">
        <v>639</v>
      </c>
      <c r="D555" s="2"/>
      <c r="E555" s="5" t="s">
        <v>640</v>
      </c>
      <c r="F555" s="21">
        <f t="shared" si="16"/>
        <v>1645900</v>
      </c>
      <c r="G555" s="13">
        <f t="shared" si="16"/>
        <v>0</v>
      </c>
      <c r="H555" s="13">
        <f t="shared" si="16"/>
        <v>0</v>
      </c>
      <c r="I555" s="39">
        <f t="shared" si="16"/>
        <v>1036000</v>
      </c>
      <c r="J555" s="39">
        <f t="shared" si="14"/>
        <v>800000</v>
      </c>
      <c r="K555" s="39">
        <f>K556</f>
        <v>1836000</v>
      </c>
      <c r="L555" s="39">
        <f>L556</f>
        <v>1836000</v>
      </c>
      <c r="M555" s="49"/>
    </row>
    <row r="556" spans="1:13" ht="17.100000000000001" customHeight="1" x14ac:dyDescent="0.2">
      <c r="A556" s="3" t="s">
        <v>618</v>
      </c>
      <c r="B556" s="3" t="s">
        <v>637</v>
      </c>
      <c r="C556" s="3" t="s">
        <v>639</v>
      </c>
      <c r="D556" s="3" t="s">
        <v>624</v>
      </c>
      <c r="E556" s="5" t="s">
        <v>625</v>
      </c>
      <c r="F556" s="18">
        <v>1645900</v>
      </c>
      <c r="G556" s="17"/>
      <c r="H556" s="17"/>
      <c r="I556" s="40">
        <v>1036000</v>
      </c>
      <c r="J556" s="39">
        <f t="shared" si="14"/>
        <v>800000</v>
      </c>
      <c r="K556" s="40">
        <v>1836000</v>
      </c>
      <c r="L556" s="40">
        <v>1836000</v>
      </c>
      <c r="M556" s="49"/>
    </row>
    <row r="557" spans="1:13" ht="30" customHeight="1" x14ac:dyDescent="0.2">
      <c r="A557" s="3" t="s">
        <v>618</v>
      </c>
      <c r="B557" s="3" t="s">
        <v>641</v>
      </c>
      <c r="C557" s="2"/>
      <c r="D557" s="2"/>
      <c r="E557" s="5" t="s">
        <v>642</v>
      </c>
      <c r="F557" s="15">
        <f>F558+F560</f>
        <v>17236239</v>
      </c>
      <c r="G557" s="13">
        <f>G558+G560</f>
        <v>520661</v>
      </c>
      <c r="H557" s="13">
        <f>H558+H560</f>
        <v>0</v>
      </c>
      <c r="I557" s="39">
        <f>I558+I560</f>
        <v>17378000</v>
      </c>
      <c r="J557" s="39">
        <f t="shared" si="14"/>
        <v>-17378000</v>
      </c>
      <c r="K557" s="39">
        <f>K558+K560</f>
        <v>0</v>
      </c>
      <c r="L557" s="39">
        <f>L558+L560</f>
        <v>0</v>
      </c>
      <c r="M557" s="50"/>
    </row>
    <row r="558" spans="1:13" ht="27" customHeight="1" x14ac:dyDescent="0.2">
      <c r="A558" s="3" t="s">
        <v>618</v>
      </c>
      <c r="B558" s="3" t="s">
        <v>641</v>
      </c>
      <c r="C558" s="3" t="s">
        <v>643</v>
      </c>
      <c r="D558" s="2"/>
      <c r="E558" s="5" t="s">
        <v>644</v>
      </c>
      <c r="F558" s="21">
        <f>F559</f>
        <v>4024200</v>
      </c>
      <c r="G558" s="13">
        <f>G559</f>
        <v>279700</v>
      </c>
      <c r="H558" s="13">
        <f>H559</f>
        <v>0</v>
      </c>
      <c r="I558" s="39">
        <f>I559</f>
        <v>4318000</v>
      </c>
      <c r="J558" s="39">
        <f t="shared" si="14"/>
        <v>-4318000</v>
      </c>
      <c r="K558" s="39">
        <f>K559</f>
        <v>0</v>
      </c>
      <c r="L558" s="39">
        <f>L559</f>
        <v>0</v>
      </c>
      <c r="M558" s="51"/>
    </row>
    <row r="559" spans="1:13" ht="17.100000000000001" customHeight="1" x14ac:dyDescent="0.2">
      <c r="A559" s="3" t="s">
        <v>618</v>
      </c>
      <c r="B559" s="3" t="s">
        <v>641</v>
      </c>
      <c r="C559" s="3" t="s">
        <v>643</v>
      </c>
      <c r="D559" s="3" t="s">
        <v>645</v>
      </c>
      <c r="E559" s="5" t="s">
        <v>646</v>
      </c>
      <c r="F559" s="18">
        <v>4024200</v>
      </c>
      <c r="G559" s="17">
        <v>279700</v>
      </c>
      <c r="H559" s="17"/>
      <c r="I559" s="40">
        <v>4318000</v>
      </c>
      <c r="J559" s="39">
        <f t="shared" si="14"/>
        <v>-4318000</v>
      </c>
      <c r="K559" s="40">
        <v>0</v>
      </c>
      <c r="L559" s="40">
        <v>0</v>
      </c>
      <c r="M559" s="50"/>
    </row>
    <row r="560" spans="1:13" ht="30" customHeight="1" x14ac:dyDescent="0.2">
      <c r="A560" s="3" t="s">
        <v>618</v>
      </c>
      <c r="B560" s="3" t="s">
        <v>641</v>
      </c>
      <c r="C560" s="3" t="s">
        <v>647</v>
      </c>
      <c r="D560" s="2"/>
      <c r="E560" s="5" t="s">
        <v>648</v>
      </c>
      <c r="F560" s="18">
        <f>F561</f>
        <v>13212039</v>
      </c>
      <c r="G560" s="19">
        <f>G561</f>
        <v>240961</v>
      </c>
      <c r="H560" s="19">
        <f>H561</f>
        <v>0</v>
      </c>
      <c r="I560" s="41">
        <f>I561</f>
        <v>13060000</v>
      </c>
      <c r="J560" s="39">
        <f t="shared" si="14"/>
        <v>-13060000</v>
      </c>
      <c r="K560" s="41">
        <f>K561</f>
        <v>0</v>
      </c>
      <c r="L560" s="41">
        <f>L561</f>
        <v>0</v>
      </c>
      <c r="M560" s="49"/>
    </row>
    <row r="561" spans="1:13" ht="17.100000000000001" customHeight="1" x14ac:dyDescent="0.2">
      <c r="A561" s="3" t="s">
        <v>618</v>
      </c>
      <c r="B561" s="3" t="s">
        <v>641</v>
      </c>
      <c r="C561" s="3" t="s">
        <v>647</v>
      </c>
      <c r="D561" s="3" t="s">
        <v>645</v>
      </c>
      <c r="E561" s="5" t="s">
        <v>646</v>
      </c>
      <c r="F561" s="18">
        <v>13212039</v>
      </c>
      <c r="G561" s="17">
        <v>240961</v>
      </c>
      <c r="H561" s="17"/>
      <c r="I561" s="40">
        <v>13060000</v>
      </c>
      <c r="J561" s="39">
        <f t="shared" si="14"/>
        <v>-13060000</v>
      </c>
      <c r="K561" s="40">
        <v>0</v>
      </c>
      <c r="L561" s="40">
        <v>0</v>
      </c>
      <c r="M561" s="49"/>
    </row>
    <row r="562" spans="1:13" ht="30" customHeight="1" x14ac:dyDescent="0.2">
      <c r="A562" s="3" t="s">
        <v>618</v>
      </c>
      <c r="B562" s="3" t="s">
        <v>649</v>
      </c>
      <c r="C562" s="2"/>
      <c r="D562" s="2"/>
      <c r="E562" s="5" t="s">
        <v>650</v>
      </c>
      <c r="F562" s="15">
        <f>F565+F567</f>
        <v>5585000</v>
      </c>
      <c r="G562" s="13">
        <f>G565+G567</f>
        <v>2054600</v>
      </c>
      <c r="H562" s="13">
        <f>H565+H567</f>
        <v>0</v>
      </c>
      <c r="I562" s="39">
        <f>I565+I567+I563</f>
        <v>6245700</v>
      </c>
      <c r="J562" s="39">
        <f t="shared" si="14"/>
        <v>-6245700</v>
      </c>
      <c r="K562" s="39">
        <f>K565+K567+K563</f>
        <v>0</v>
      </c>
      <c r="L562" s="39">
        <f>L565+L567+L563</f>
        <v>0</v>
      </c>
      <c r="M562" s="50"/>
    </row>
    <row r="563" spans="1:13" ht="30" hidden="1" customHeight="1" x14ac:dyDescent="0.2">
      <c r="A563" s="3" t="s">
        <v>618</v>
      </c>
      <c r="B563" s="3" t="s">
        <v>649</v>
      </c>
      <c r="C563" s="2">
        <v>5100300</v>
      </c>
      <c r="D563" s="2"/>
      <c r="E563" s="31" t="s">
        <v>294</v>
      </c>
      <c r="F563" s="15"/>
      <c r="G563" s="13"/>
      <c r="H563" s="13"/>
      <c r="I563" s="39">
        <f>I564</f>
        <v>0</v>
      </c>
      <c r="J563" s="39">
        <f t="shared" si="14"/>
        <v>0</v>
      </c>
      <c r="K563" s="39">
        <f>K564</f>
        <v>0</v>
      </c>
      <c r="L563" s="39">
        <f>L564</f>
        <v>0</v>
      </c>
      <c r="M563" s="51"/>
    </row>
    <row r="564" spans="1:13" hidden="1" x14ac:dyDescent="0.2">
      <c r="A564" s="3" t="s">
        <v>618</v>
      </c>
      <c r="B564" s="3" t="s">
        <v>649</v>
      </c>
      <c r="C564" s="2">
        <v>5100300</v>
      </c>
      <c r="D564" s="3" t="s">
        <v>651</v>
      </c>
      <c r="E564" s="31" t="s">
        <v>652</v>
      </c>
      <c r="F564" s="15"/>
      <c r="G564" s="13"/>
      <c r="H564" s="13"/>
      <c r="I564" s="39"/>
      <c r="J564" s="39">
        <f t="shared" si="14"/>
        <v>0</v>
      </c>
      <c r="K564" s="39">
        <v>0</v>
      </c>
      <c r="L564" s="39">
        <v>0</v>
      </c>
      <c r="M564" s="50"/>
    </row>
    <row r="565" spans="1:13" ht="24.75" hidden="1" customHeight="1" x14ac:dyDescent="0.2">
      <c r="A565" s="3" t="s">
        <v>618</v>
      </c>
      <c r="B565" s="3" t="s">
        <v>649</v>
      </c>
      <c r="C565" s="3" t="s">
        <v>322</v>
      </c>
      <c r="D565" s="2"/>
      <c r="E565" s="31" t="s">
        <v>350</v>
      </c>
      <c r="F565" s="21">
        <f>F566</f>
        <v>3640400</v>
      </c>
      <c r="G565" s="13">
        <f>G566</f>
        <v>609900</v>
      </c>
      <c r="H565" s="13">
        <f>H566</f>
        <v>0</v>
      </c>
      <c r="I565" s="39">
        <f>I566</f>
        <v>0</v>
      </c>
      <c r="J565" s="39">
        <f t="shared" si="14"/>
        <v>0</v>
      </c>
      <c r="K565" s="39">
        <f>K566</f>
        <v>0</v>
      </c>
      <c r="L565" s="39">
        <f>L566</f>
        <v>0</v>
      </c>
      <c r="M565" s="49"/>
    </row>
    <row r="566" spans="1:13" ht="17.100000000000001" hidden="1" customHeight="1" x14ac:dyDescent="0.2">
      <c r="A566" s="3" t="s">
        <v>618</v>
      </c>
      <c r="B566" s="3" t="s">
        <v>649</v>
      </c>
      <c r="C566" s="3" t="s">
        <v>322</v>
      </c>
      <c r="D566" s="3" t="s">
        <v>651</v>
      </c>
      <c r="E566" s="31" t="s">
        <v>652</v>
      </c>
      <c r="F566" s="18">
        <v>3640400</v>
      </c>
      <c r="G566" s="17">
        <v>609900</v>
      </c>
      <c r="H566" s="17"/>
      <c r="I566" s="40"/>
      <c r="J566" s="39">
        <f t="shared" si="14"/>
        <v>0</v>
      </c>
      <c r="K566" s="40">
        <v>0</v>
      </c>
      <c r="L566" s="40">
        <v>0</v>
      </c>
      <c r="M566" s="49"/>
    </row>
    <row r="567" spans="1:13" ht="25.5" customHeight="1" x14ac:dyDescent="0.2">
      <c r="A567" s="3" t="s">
        <v>618</v>
      </c>
      <c r="B567" s="3" t="s">
        <v>649</v>
      </c>
      <c r="C567" s="3" t="s">
        <v>653</v>
      </c>
      <c r="D567" s="2"/>
      <c r="E567" s="5" t="s">
        <v>654</v>
      </c>
      <c r="F567" s="18">
        <f>F568</f>
        <v>1944600</v>
      </c>
      <c r="G567" s="19">
        <f>G568</f>
        <v>1444700</v>
      </c>
      <c r="H567" s="19">
        <f>H568</f>
        <v>0</v>
      </c>
      <c r="I567" s="41">
        <f>I568</f>
        <v>6245700</v>
      </c>
      <c r="J567" s="39">
        <f t="shared" si="14"/>
        <v>-6245700</v>
      </c>
      <c r="K567" s="41">
        <f>K568</f>
        <v>0</v>
      </c>
      <c r="L567" s="41">
        <f>L568</f>
        <v>0</v>
      </c>
      <c r="M567" s="50"/>
    </row>
    <row r="568" spans="1:13" ht="14.25" customHeight="1" x14ac:dyDescent="0.2">
      <c r="A568" s="3" t="s">
        <v>618</v>
      </c>
      <c r="B568" s="3" t="s">
        <v>649</v>
      </c>
      <c r="C568" s="3" t="s">
        <v>653</v>
      </c>
      <c r="D568" s="3" t="s">
        <v>651</v>
      </c>
      <c r="E568" s="5" t="s">
        <v>652</v>
      </c>
      <c r="F568" s="18">
        <v>1944600</v>
      </c>
      <c r="G568" s="17">
        <v>1444700</v>
      </c>
      <c r="H568" s="17"/>
      <c r="I568" s="40">
        <v>6245700</v>
      </c>
      <c r="J568" s="39">
        <f t="shared" si="14"/>
        <v>-6245700</v>
      </c>
      <c r="K568" s="40">
        <v>0</v>
      </c>
      <c r="L568" s="40">
        <v>0</v>
      </c>
      <c r="M568" s="49"/>
    </row>
    <row r="569" spans="1:13" ht="27" hidden="1" customHeight="1" x14ac:dyDescent="0.2">
      <c r="A569" s="3" t="s">
        <v>618</v>
      </c>
      <c r="B569" s="3" t="s">
        <v>655</v>
      </c>
      <c r="C569" s="2"/>
      <c r="D569" s="2"/>
      <c r="E569" s="5" t="s">
        <v>656</v>
      </c>
      <c r="F569" s="21">
        <f t="shared" ref="F569:I570" si="17">F570</f>
        <v>908000</v>
      </c>
      <c r="G569" s="13">
        <f t="shared" si="17"/>
        <v>65100</v>
      </c>
      <c r="H569" s="13">
        <f t="shared" si="17"/>
        <v>0</v>
      </c>
      <c r="I569" s="39">
        <f t="shared" si="17"/>
        <v>0</v>
      </c>
      <c r="J569" s="39">
        <f t="shared" si="14"/>
        <v>0</v>
      </c>
      <c r="K569" s="39">
        <f>K570</f>
        <v>0</v>
      </c>
      <c r="L569" s="39">
        <f>L570</f>
        <v>0</v>
      </c>
      <c r="M569" s="49"/>
    </row>
    <row r="570" spans="1:13" ht="26.25" hidden="1" customHeight="1" x14ac:dyDescent="0.2">
      <c r="A570" s="3" t="s">
        <v>618</v>
      </c>
      <c r="B570" s="3" t="s">
        <v>655</v>
      </c>
      <c r="C570" s="3" t="s">
        <v>657</v>
      </c>
      <c r="D570" s="2"/>
      <c r="E570" s="5" t="s">
        <v>658</v>
      </c>
      <c r="F570" s="21">
        <f t="shared" si="17"/>
        <v>908000</v>
      </c>
      <c r="G570" s="13">
        <f t="shared" si="17"/>
        <v>65100</v>
      </c>
      <c r="H570" s="13">
        <f t="shared" si="17"/>
        <v>0</v>
      </c>
      <c r="I570" s="39">
        <f t="shared" si="17"/>
        <v>0</v>
      </c>
      <c r="J570" s="39">
        <f t="shared" si="14"/>
        <v>0</v>
      </c>
      <c r="K570" s="39">
        <v>0</v>
      </c>
      <c r="L570" s="39">
        <v>0</v>
      </c>
      <c r="M570" s="50"/>
    </row>
    <row r="571" spans="1:13" ht="17.100000000000001" hidden="1" customHeight="1" x14ac:dyDescent="0.2">
      <c r="A571" s="3" t="s">
        <v>618</v>
      </c>
      <c r="B571" s="3" t="s">
        <v>655</v>
      </c>
      <c r="C571" s="3" t="s">
        <v>657</v>
      </c>
      <c r="D571" s="3" t="s">
        <v>659</v>
      </c>
      <c r="E571" s="5" t="s">
        <v>660</v>
      </c>
      <c r="F571" s="18">
        <v>908000</v>
      </c>
      <c r="G571" s="17">
        <v>65100</v>
      </c>
      <c r="H571" s="17"/>
      <c r="I571" s="40"/>
      <c r="J571" s="39">
        <f t="shared" si="14"/>
        <v>0</v>
      </c>
      <c r="K571" s="40"/>
      <c r="L571" s="40"/>
      <c r="M571" s="10"/>
    </row>
    <row r="572" spans="1:13" ht="17.100000000000001" customHeight="1" x14ac:dyDescent="0.2">
      <c r="A572" s="3" t="s">
        <v>618</v>
      </c>
      <c r="B572" s="3" t="s">
        <v>661</v>
      </c>
      <c r="C572" s="2"/>
      <c r="D572" s="2"/>
      <c r="E572" s="5" t="s">
        <v>662</v>
      </c>
      <c r="F572" s="21">
        <f>F575</f>
        <v>510000</v>
      </c>
      <c r="G572" s="13">
        <f>G575</f>
        <v>0</v>
      </c>
      <c r="H572" s="13">
        <f>H575</f>
        <v>0</v>
      </c>
      <c r="I572" s="39">
        <f>I575+I573</f>
        <v>450000</v>
      </c>
      <c r="J572" s="39">
        <f t="shared" si="14"/>
        <v>-450000</v>
      </c>
      <c r="K572" s="39">
        <f>K575+K573</f>
        <v>0</v>
      </c>
      <c r="L572" s="39">
        <f>L575+L573</f>
        <v>0</v>
      </c>
      <c r="M572" s="10"/>
    </row>
    <row r="573" spans="1:13" ht="17.100000000000001" hidden="1" customHeight="1" x14ac:dyDescent="0.2">
      <c r="A573" s="3" t="s">
        <v>618</v>
      </c>
      <c r="B573" s="3" t="s">
        <v>661</v>
      </c>
      <c r="C573" s="2">
        <v>5100300</v>
      </c>
      <c r="D573" s="2"/>
      <c r="E573" s="46"/>
      <c r="F573" s="21"/>
      <c r="G573" s="13"/>
      <c r="H573" s="13"/>
      <c r="I573" s="39">
        <f>I574</f>
        <v>0</v>
      </c>
      <c r="J573" s="39">
        <f t="shared" si="14"/>
        <v>0</v>
      </c>
      <c r="K573" s="39">
        <f>K574</f>
        <v>0</v>
      </c>
      <c r="L573" s="39">
        <f>L574</f>
        <v>0</v>
      </c>
      <c r="M573" s="10"/>
    </row>
    <row r="574" spans="1:13" ht="17.100000000000001" hidden="1" customHeight="1" x14ac:dyDescent="0.2">
      <c r="A574" s="3" t="s">
        <v>618</v>
      </c>
      <c r="B574" s="3" t="s">
        <v>661</v>
      </c>
      <c r="C574" s="2">
        <v>5100300</v>
      </c>
      <c r="D574" s="3" t="s">
        <v>482</v>
      </c>
      <c r="E574" s="46"/>
      <c r="F574" s="21"/>
      <c r="G574" s="13"/>
      <c r="H574" s="13"/>
      <c r="I574" s="39">
        <v>0</v>
      </c>
      <c r="J574" s="39">
        <f t="shared" si="14"/>
        <v>0</v>
      </c>
      <c r="K574" s="39">
        <v>0</v>
      </c>
      <c r="L574" s="39">
        <v>0</v>
      </c>
      <c r="M574" s="10"/>
    </row>
    <row r="575" spans="1:13" ht="17.100000000000001" customHeight="1" x14ac:dyDescent="0.2">
      <c r="A575" s="3" t="s">
        <v>618</v>
      </c>
      <c r="B575" s="3" t="s">
        <v>661</v>
      </c>
      <c r="C575" s="3" t="s">
        <v>663</v>
      </c>
      <c r="D575" s="2"/>
      <c r="E575" s="5" t="s">
        <v>664</v>
      </c>
      <c r="F575" s="21">
        <f>F576</f>
        <v>510000</v>
      </c>
      <c r="G575" s="13">
        <f>G576</f>
        <v>0</v>
      </c>
      <c r="H575" s="13">
        <f>H576</f>
        <v>0</v>
      </c>
      <c r="I575" s="39">
        <f>I576</f>
        <v>450000</v>
      </c>
      <c r="J575" s="39">
        <f t="shared" si="14"/>
        <v>-450000</v>
      </c>
      <c r="K575" s="39">
        <f>K576</f>
        <v>0</v>
      </c>
      <c r="L575" s="39">
        <f>L576</f>
        <v>0</v>
      </c>
      <c r="M575" s="10"/>
    </row>
    <row r="576" spans="1:13" ht="17.100000000000001" customHeight="1" x14ac:dyDescent="0.2">
      <c r="A576" s="3" t="s">
        <v>618</v>
      </c>
      <c r="B576" s="3" t="s">
        <v>661</v>
      </c>
      <c r="C576" s="3" t="s">
        <v>663</v>
      </c>
      <c r="D576" s="3" t="s">
        <v>665</v>
      </c>
      <c r="E576" s="5" t="s">
        <v>662</v>
      </c>
      <c r="F576" s="18">
        <v>510000</v>
      </c>
      <c r="G576" s="17">
        <v>0</v>
      </c>
      <c r="H576" s="17"/>
      <c r="I576" s="40">
        <v>450000</v>
      </c>
      <c r="J576" s="39">
        <f t="shared" si="14"/>
        <v>-450000</v>
      </c>
      <c r="K576" s="40">
        <v>0</v>
      </c>
      <c r="L576" s="40">
        <v>0</v>
      </c>
      <c r="M576" s="10"/>
    </row>
    <row r="577" spans="1:13" ht="29.25" customHeight="1" x14ac:dyDescent="0.2">
      <c r="A577" s="3" t="s">
        <v>618</v>
      </c>
      <c r="B577" s="3" t="s">
        <v>386</v>
      </c>
      <c r="C577" s="3"/>
      <c r="D577" s="3"/>
      <c r="E577" s="11" t="s">
        <v>398</v>
      </c>
      <c r="F577" s="18"/>
      <c r="G577" s="17"/>
      <c r="H577" s="17"/>
      <c r="I577" s="40">
        <f>I578+I580</f>
        <v>0</v>
      </c>
      <c r="J577" s="39">
        <f t="shared" si="14"/>
        <v>17854400</v>
      </c>
      <c r="K577" s="40">
        <f>K578+K580</f>
        <v>17854400</v>
      </c>
      <c r="L577" s="40">
        <f>L578+L580</f>
        <v>17854400</v>
      </c>
      <c r="M577" s="10"/>
    </row>
    <row r="578" spans="1:13" ht="24.75" customHeight="1" x14ac:dyDescent="0.2">
      <c r="A578" s="3" t="s">
        <v>618</v>
      </c>
      <c r="B578" s="3" t="s">
        <v>386</v>
      </c>
      <c r="C578" s="3" t="s">
        <v>643</v>
      </c>
      <c r="D578" s="2"/>
      <c r="E578" s="11" t="s">
        <v>644</v>
      </c>
      <c r="F578" s="21">
        <f>F579</f>
        <v>4024200</v>
      </c>
      <c r="G578" s="13">
        <f>G579</f>
        <v>279700</v>
      </c>
      <c r="H578" s="13">
        <f>H579</f>
        <v>0</v>
      </c>
      <c r="I578" s="39">
        <f>I579</f>
        <v>0</v>
      </c>
      <c r="J578" s="39">
        <f t="shared" si="14"/>
        <v>4794400</v>
      </c>
      <c r="K578" s="39">
        <f>K579</f>
        <v>4794400</v>
      </c>
      <c r="L578" s="39">
        <f>L579</f>
        <v>4794400</v>
      </c>
      <c r="M578" s="10"/>
    </row>
    <row r="579" spans="1:13" ht="17.100000000000001" customHeight="1" x14ac:dyDescent="0.2">
      <c r="A579" s="3" t="s">
        <v>618</v>
      </c>
      <c r="B579" s="3" t="s">
        <v>386</v>
      </c>
      <c r="C579" s="3" t="s">
        <v>643</v>
      </c>
      <c r="D579" s="3" t="s">
        <v>645</v>
      </c>
      <c r="E579" s="5" t="s">
        <v>646</v>
      </c>
      <c r="F579" s="18">
        <v>4024200</v>
      </c>
      <c r="G579" s="17">
        <v>279700</v>
      </c>
      <c r="H579" s="17"/>
      <c r="I579" s="40">
        <v>0</v>
      </c>
      <c r="J579" s="39">
        <f t="shared" si="14"/>
        <v>4794400</v>
      </c>
      <c r="K579" s="40">
        <v>4794400</v>
      </c>
      <c r="L579" s="40">
        <v>4794400</v>
      </c>
      <c r="M579" s="10"/>
    </row>
    <row r="580" spans="1:13" ht="23.25" customHeight="1" x14ac:dyDescent="0.2">
      <c r="A580" s="3" t="s">
        <v>618</v>
      </c>
      <c r="B580" s="3" t="s">
        <v>386</v>
      </c>
      <c r="C580" s="3" t="s">
        <v>647</v>
      </c>
      <c r="D580" s="2"/>
      <c r="E580" s="5" t="s">
        <v>648</v>
      </c>
      <c r="F580" s="18">
        <f>F581</f>
        <v>13212039</v>
      </c>
      <c r="G580" s="19">
        <f>G581</f>
        <v>240961</v>
      </c>
      <c r="H580" s="19">
        <f>H581</f>
        <v>0</v>
      </c>
      <c r="I580" s="41">
        <f>I581</f>
        <v>0</v>
      </c>
      <c r="J580" s="39">
        <f t="shared" si="14"/>
        <v>13060000</v>
      </c>
      <c r="K580" s="41">
        <f>K581</f>
        <v>13060000</v>
      </c>
      <c r="L580" s="41">
        <f>L581</f>
        <v>13060000</v>
      </c>
      <c r="M580" s="10"/>
    </row>
    <row r="581" spans="1:13" ht="17.100000000000001" customHeight="1" x14ac:dyDescent="0.2">
      <c r="A581" s="3" t="s">
        <v>618</v>
      </c>
      <c r="B581" s="3" t="s">
        <v>386</v>
      </c>
      <c r="C581" s="3" t="s">
        <v>647</v>
      </c>
      <c r="D581" s="3" t="s">
        <v>645</v>
      </c>
      <c r="E581" s="5" t="s">
        <v>646</v>
      </c>
      <c r="F581" s="18">
        <v>13212039</v>
      </c>
      <c r="G581" s="17">
        <v>240961</v>
      </c>
      <c r="H581" s="17"/>
      <c r="I581" s="40">
        <v>0</v>
      </c>
      <c r="J581" s="39">
        <f t="shared" si="14"/>
        <v>13060000</v>
      </c>
      <c r="K581" s="40">
        <v>13060000</v>
      </c>
      <c r="L581" s="40">
        <v>13060000</v>
      </c>
      <c r="M581" s="10"/>
    </row>
    <row r="582" spans="1:13" ht="36.75" customHeight="1" x14ac:dyDescent="0.2">
      <c r="A582" s="3" t="s">
        <v>618</v>
      </c>
      <c r="B582" s="3" t="s">
        <v>387</v>
      </c>
      <c r="C582" s="3"/>
      <c r="D582" s="3"/>
      <c r="E582" s="11" t="s">
        <v>392</v>
      </c>
      <c r="F582" s="18"/>
      <c r="G582" s="17"/>
      <c r="H582" s="17"/>
      <c r="I582" s="40">
        <f>I583+I585</f>
        <v>0</v>
      </c>
      <c r="J582" s="39">
        <f t="shared" si="14"/>
        <v>6787300</v>
      </c>
      <c r="K582" s="40">
        <f>K583+K585</f>
        <v>6787300</v>
      </c>
      <c r="L582" s="40">
        <f>L583+L585</f>
        <v>6787300</v>
      </c>
      <c r="M582" s="10"/>
    </row>
    <row r="583" spans="1:13" ht="27.75" customHeight="1" x14ac:dyDescent="0.2">
      <c r="A583" s="3" t="s">
        <v>618</v>
      </c>
      <c r="B583" s="3" t="s">
        <v>387</v>
      </c>
      <c r="C583" s="3" t="s">
        <v>657</v>
      </c>
      <c r="D583" s="2"/>
      <c r="E583" s="11" t="s">
        <v>658</v>
      </c>
      <c r="F583" s="21">
        <f>F584</f>
        <v>908000</v>
      </c>
      <c r="G583" s="13">
        <f>G584</f>
        <v>65100</v>
      </c>
      <c r="H583" s="13">
        <f>H584</f>
        <v>0</v>
      </c>
      <c r="I583" s="39">
        <f>I584</f>
        <v>0</v>
      </c>
      <c r="J583" s="39">
        <f t="shared" si="14"/>
        <v>483000</v>
      </c>
      <c r="K583" s="39">
        <f>K584</f>
        <v>483000</v>
      </c>
      <c r="L583" s="39">
        <f>L584</f>
        <v>483000</v>
      </c>
      <c r="M583" s="10"/>
    </row>
    <row r="584" spans="1:13" ht="17.100000000000001" customHeight="1" x14ac:dyDescent="0.2">
      <c r="A584" s="3" t="s">
        <v>618</v>
      </c>
      <c r="B584" s="3" t="s">
        <v>387</v>
      </c>
      <c r="C584" s="3" t="s">
        <v>657</v>
      </c>
      <c r="D584" s="3" t="s">
        <v>659</v>
      </c>
      <c r="E584" s="5" t="s">
        <v>660</v>
      </c>
      <c r="F584" s="18">
        <v>908000</v>
      </c>
      <c r="G584" s="17">
        <v>65100</v>
      </c>
      <c r="H584" s="17"/>
      <c r="I584" s="40">
        <v>0</v>
      </c>
      <c r="J584" s="39">
        <f t="shared" ref="J584:J647" si="18">K584-I584</f>
        <v>483000</v>
      </c>
      <c r="K584" s="40">
        <v>483000</v>
      </c>
      <c r="L584" s="40">
        <v>483000</v>
      </c>
      <c r="M584" s="10"/>
    </row>
    <row r="585" spans="1:13" ht="27" customHeight="1" x14ac:dyDescent="0.2">
      <c r="A585" s="3" t="s">
        <v>618</v>
      </c>
      <c r="B585" s="3" t="s">
        <v>387</v>
      </c>
      <c r="C585" s="3" t="s">
        <v>653</v>
      </c>
      <c r="D585" s="2"/>
      <c r="E585" s="5" t="s">
        <v>654</v>
      </c>
      <c r="F585" s="18">
        <f>F586</f>
        <v>1944600</v>
      </c>
      <c r="G585" s="19">
        <f>G586</f>
        <v>1444700</v>
      </c>
      <c r="H585" s="19">
        <f>H586</f>
        <v>0</v>
      </c>
      <c r="I585" s="41">
        <f>I586</f>
        <v>0</v>
      </c>
      <c r="J585" s="39">
        <f t="shared" si="18"/>
        <v>6304300</v>
      </c>
      <c r="K585" s="41">
        <f>K586</f>
        <v>6304300</v>
      </c>
      <c r="L585" s="41">
        <f>L586</f>
        <v>6304300</v>
      </c>
      <c r="M585" s="10"/>
    </row>
    <row r="586" spans="1:13" ht="17.100000000000001" customHeight="1" x14ac:dyDescent="0.2">
      <c r="A586" s="3" t="s">
        <v>618</v>
      </c>
      <c r="B586" s="3" t="s">
        <v>387</v>
      </c>
      <c r="C586" s="3" t="s">
        <v>653</v>
      </c>
      <c r="D586" s="3" t="s">
        <v>651</v>
      </c>
      <c r="E586" s="5" t="s">
        <v>652</v>
      </c>
      <c r="F586" s="18">
        <v>1944600</v>
      </c>
      <c r="G586" s="17">
        <v>1444700</v>
      </c>
      <c r="H586" s="17"/>
      <c r="I586" s="40">
        <v>0</v>
      </c>
      <c r="J586" s="39">
        <f t="shared" si="18"/>
        <v>6304300</v>
      </c>
      <c r="K586" s="40">
        <v>6304300</v>
      </c>
      <c r="L586" s="40">
        <v>6304300</v>
      </c>
      <c r="M586" s="10"/>
    </row>
    <row r="587" spans="1:13" ht="37.5" customHeight="1" x14ac:dyDescent="0.2">
      <c r="A587" s="1" t="s">
        <v>666</v>
      </c>
      <c r="B587" s="7"/>
      <c r="C587" s="7"/>
      <c r="D587" s="7"/>
      <c r="E587" s="28" t="s">
        <v>667</v>
      </c>
      <c r="F587" s="14">
        <f>F588+F597+F610+F617</f>
        <v>7988600</v>
      </c>
      <c r="G587" s="12">
        <f>G588+G597+G610+G617</f>
        <v>-1523361</v>
      </c>
      <c r="H587" s="12">
        <f>H588+H597+H610+H617</f>
        <v>0</v>
      </c>
      <c r="I587" s="38">
        <f>I588+I597+I610+I617+I643+I646+I638+I591+I594</f>
        <v>8792042</v>
      </c>
      <c r="J587" s="38">
        <f t="shared" si="18"/>
        <v>5239916</v>
      </c>
      <c r="K587" s="38">
        <f>K588+K597+K610+K617+K643+K646+K638+K591+K594</f>
        <v>14031958</v>
      </c>
      <c r="L587" s="38">
        <f>L588+L597+L610+L617+L643+L646+L638+L591+L594</f>
        <v>6531958</v>
      </c>
      <c r="M587" s="10"/>
    </row>
    <row r="588" spans="1:13" ht="17.100000000000001" customHeight="1" x14ac:dyDescent="0.2">
      <c r="A588" s="3" t="s">
        <v>666</v>
      </c>
      <c r="B588" s="3" t="s">
        <v>496</v>
      </c>
      <c r="C588" s="2"/>
      <c r="D588" s="2"/>
      <c r="E588" s="5" t="s">
        <v>497</v>
      </c>
      <c r="F588" s="15">
        <f t="shared" ref="F588:I589" si="19">F589</f>
        <v>1094000</v>
      </c>
      <c r="G588" s="13">
        <f t="shared" si="19"/>
        <v>0</v>
      </c>
      <c r="H588" s="13">
        <f t="shared" si="19"/>
        <v>0</v>
      </c>
      <c r="I588" s="39">
        <f t="shared" si="19"/>
        <v>1292042</v>
      </c>
      <c r="J588" s="39">
        <f t="shared" si="18"/>
        <v>239916</v>
      </c>
      <c r="K588" s="39">
        <f>K589</f>
        <v>1531958</v>
      </c>
      <c r="L588" s="39">
        <f>L589</f>
        <v>1531958</v>
      </c>
      <c r="M588" s="10"/>
    </row>
    <row r="589" spans="1:13" ht="17.100000000000001" customHeight="1" x14ac:dyDescent="0.2">
      <c r="A589" s="3" t="s">
        <v>666</v>
      </c>
      <c r="B589" s="3" t="s">
        <v>496</v>
      </c>
      <c r="C589" s="3" t="s">
        <v>668</v>
      </c>
      <c r="D589" s="2"/>
      <c r="E589" s="5" t="s">
        <v>531</v>
      </c>
      <c r="F589" s="21">
        <f t="shared" si="19"/>
        <v>1094000</v>
      </c>
      <c r="G589" s="13">
        <f t="shared" si="19"/>
        <v>0</v>
      </c>
      <c r="H589" s="13">
        <f t="shared" si="19"/>
        <v>0</v>
      </c>
      <c r="I589" s="39">
        <f t="shared" si="19"/>
        <v>1292042</v>
      </c>
      <c r="J589" s="39">
        <f t="shared" si="18"/>
        <v>239916</v>
      </c>
      <c r="K589" s="39">
        <f>K590</f>
        <v>1531958</v>
      </c>
      <c r="L589" s="39">
        <f>L590</f>
        <v>1531958</v>
      </c>
      <c r="M589" s="10"/>
    </row>
    <row r="590" spans="1:13" ht="17.100000000000001" customHeight="1" x14ac:dyDescent="0.2">
      <c r="A590" s="3" t="s">
        <v>666</v>
      </c>
      <c r="B590" s="3" t="s">
        <v>496</v>
      </c>
      <c r="C590" s="3" t="s">
        <v>668</v>
      </c>
      <c r="D590" s="3" t="s">
        <v>482</v>
      </c>
      <c r="E590" s="5" t="s">
        <v>483</v>
      </c>
      <c r="F590" s="18">
        <v>1094000</v>
      </c>
      <c r="G590" s="17"/>
      <c r="H590" s="17"/>
      <c r="I590" s="40">
        <v>1292042</v>
      </c>
      <c r="J590" s="39">
        <f t="shared" si="18"/>
        <v>239916</v>
      </c>
      <c r="K590" s="40">
        <v>1531958</v>
      </c>
      <c r="L590" s="40">
        <v>1531958</v>
      </c>
      <c r="M590" s="10"/>
    </row>
    <row r="591" spans="1:13" ht="17.100000000000001" customHeight="1" x14ac:dyDescent="0.2">
      <c r="A591" s="3" t="s">
        <v>666</v>
      </c>
      <c r="B591" s="3" t="s">
        <v>361</v>
      </c>
      <c r="C591" s="3"/>
      <c r="D591" s="3"/>
      <c r="E591" s="31" t="s">
        <v>369</v>
      </c>
      <c r="F591" s="18"/>
      <c r="G591" s="17"/>
      <c r="H591" s="17"/>
      <c r="I591" s="40">
        <f>I592</f>
        <v>0</v>
      </c>
      <c r="J591" s="39">
        <f t="shared" si="18"/>
        <v>1000000</v>
      </c>
      <c r="K591" s="40">
        <f>K592</f>
        <v>1000000</v>
      </c>
      <c r="L591" s="40">
        <f>L592</f>
        <v>1000000</v>
      </c>
      <c r="M591" s="10"/>
    </row>
    <row r="592" spans="1:13" ht="32.25" customHeight="1" x14ac:dyDescent="0.2">
      <c r="A592" s="3" t="s">
        <v>666</v>
      </c>
      <c r="B592" s="3" t="s">
        <v>361</v>
      </c>
      <c r="C592" s="3" t="s">
        <v>362</v>
      </c>
      <c r="D592" s="3"/>
      <c r="E592" s="31" t="s">
        <v>370</v>
      </c>
      <c r="F592" s="18"/>
      <c r="G592" s="17"/>
      <c r="H592" s="17"/>
      <c r="I592" s="40">
        <f>I593</f>
        <v>0</v>
      </c>
      <c r="J592" s="39">
        <f t="shared" si="18"/>
        <v>1000000</v>
      </c>
      <c r="K592" s="40">
        <f>K593</f>
        <v>1000000</v>
      </c>
      <c r="L592" s="40">
        <f>L593</f>
        <v>1000000</v>
      </c>
      <c r="M592" s="10"/>
    </row>
    <row r="593" spans="1:13" ht="17.100000000000001" customHeight="1" x14ac:dyDescent="0.2">
      <c r="A593" s="3" t="s">
        <v>666</v>
      </c>
      <c r="B593" s="3" t="s">
        <v>361</v>
      </c>
      <c r="C593" s="3" t="s">
        <v>362</v>
      </c>
      <c r="D593" s="3" t="s">
        <v>526</v>
      </c>
      <c r="E593" s="31" t="s">
        <v>527</v>
      </c>
      <c r="F593" s="18"/>
      <c r="G593" s="17"/>
      <c r="H593" s="17"/>
      <c r="I593" s="40">
        <v>0</v>
      </c>
      <c r="J593" s="39">
        <f t="shared" si="18"/>
        <v>1000000</v>
      </c>
      <c r="K593" s="40">
        <v>1000000</v>
      </c>
      <c r="L593" s="40">
        <v>1000000</v>
      </c>
      <c r="M593" s="10"/>
    </row>
    <row r="594" spans="1:13" ht="20.25" customHeight="1" x14ac:dyDescent="0.2">
      <c r="A594" s="3" t="s">
        <v>666</v>
      </c>
      <c r="B594" s="3" t="s">
        <v>519</v>
      </c>
      <c r="C594" s="3"/>
      <c r="D594" s="3"/>
      <c r="E594" s="5" t="s">
        <v>520</v>
      </c>
      <c r="F594" s="18"/>
      <c r="G594" s="17"/>
      <c r="H594" s="17"/>
      <c r="I594" s="40">
        <f>I595</f>
        <v>0</v>
      </c>
      <c r="J594" s="39">
        <f t="shared" si="18"/>
        <v>1000000</v>
      </c>
      <c r="K594" s="40">
        <f>K595</f>
        <v>1000000</v>
      </c>
      <c r="L594" s="40">
        <f>L595</f>
        <v>1000000</v>
      </c>
      <c r="M594" s="10"/>
    </row>
    <row r="595" spans="1:13" ht="25.5" customHeight="1" x14ac:dyDescent="0.2">
      <c r="A595" s="3" t="s">
        <v>666</v>
      </c>
      <c r="B595" s="3" t="s">
        <v>519</v>
      </c>
      <c r="C595" s="3" t="s">
        <v>388</v>
      </c>
      <c r="D595" s="3"/>
      <c r="E595" s="44" t="s">
        <v>389</v>
      </c>
      <c r="F595" s="18"/>
      <c r="G595" s="17"/>
      <c r="H595" s="17"/>
      <c r="I595" s="40">
        <f>I596</f>
        <v>0</v>
      </c>
      <c r="J595" s="39">
        <f t="shared" si="18"/>
        <v>1000000</v>
      </c>
      <c r="K595" s="40">
        <f>K596</f>
        <v>1000000</v>
      </c>
      <c r="L595" s="40">
        <f>L596</f>
        <v>1000000</v>
      </c>
      <c r="M595" s="10"/>
    </row>
    <row r="596" spans="1:13" ht="17.100000000000001" customHeight="1" x14ac:dyDescent="0.2">
      <c r="A596" s="3" t="s">
        <v>666</v>
      </c>
      <c r="B596" s="3" t="s">
        <v>519</v>
      </c>
      <c r="C596" s="3" t="s">
        <v>388</v>
      </c>
      <c r="D596" s="3" t="s">
        <v>526</v>
      </c>
      <c r="E596" s="31" t="s">
        <v>527</v>
      </c>
      <c r="F596" s="18"/>
      <c r="G596" s="17"/>
      <c r="H596" s="17"/>
      <c r="I596" s="40">
        <v>0</v>
      </c>
      <c r="J596" s="39">
        <f t="shared" si="18"/>
        <v>1000000</v>
      </c>
      <c r="K596" s="40">
        <v>1000000</v>
      </c>
      <c r="L596" s="40">
        <v>1000000</v>
      </c>
      <c r="M596" s="10"/>
    </row>
    <row r="597" spans="1:13" ht="17.100000000000001" hidden="1" customHeight="1" x14ac:dyDescent="0.2">
      <c r="A597" s="3" t="s">
        <v>666</v>
      </c>
      <c r="B597" s="3" t="s">
        <v>626</v>
      </c>
      <c r="C597" s="2"/>
      <c r="D597" s="2"/>
      <c r="E597" s="5" t="s">
        <v>627</v>
      </c>
      <c r="F597" s="21">
        <f>F606+F608</f>
        <v>1500000</v>
      </c>
      <c r="G597" s="13">
        <f>G606+G608</f>
        <v>166667</v>
      </c>
      <c r="H597" s="13">
        <f>H606+H608</f>
        <v>0</v>
      </c>
      <c r="I597" s="39">
        <f>I606+I608+I604+I598+I600+I602</f>
        <v>0</v>
      </c>
      <c r="J597" s="39">
        <f t="shared" si="18"/>
        <v>0</v>
      </c>
      <c r="K597" s="39">
        <f>K606+K608+K604+K598+K600+K602</f>
        <v>0</v>
      </c>
      <c r="L597" s="39">
        <f>L606+L608+L604+L598+L600+L602</f>
        <v>0</v>
      </c>
      <c r="M597" s="10"/>
    </row>
    <row r="598" spans="1:13" ht="21" hidden="1" x14ac:dyDescent="0.2">
      <c r="A598" s="3" t="s">
        <v>666</v>
      </c>
      <c r="B598" s="3" t="s">
        <v>626</v>
      </c>
      <c r="C598" s="2">
        <v>1001100</v>
      </c>
      <c r="D598" s="2"/>
      <c r="E598" s="31" t="s">
        <v>341</v>
      </c>
      <c r="F598" s="21"/>
      <c r="G598" s="13"/>
      <c r="H598" s="13"/>
      <c r="I598" s="39">
        <f>I599</f>
        <v>0</v>
      </c>
      <c r="J598" s="39">
        <f t="shared" si="18"/>
        <v>0</v>
      </c>
      <c r="K598" s="39">
        <f>K599</f>
        <v>0</v>
      </c>
      <c r="L598" s="39">
        <f>L599</f>
        <v>0</v>
      </c>
      <c r="M598" s="10"/>
    </row>
    <row r="599" spans="1:13" ht="17.100000000000001" hidden="1" customHeight="1" x14ac:dyDescent="0.2">
      <c r="A599" s="3" t="s">
        <v>666</v>
      </c>
      <c r="B599" s="3" t="s">
        <v>626</v>
      </c>
      <c r="C599" s="2">
        <v>1001100</v>
      </c>
      <c r="D599" s="3" t="s">
        <v>526</v>
      </c>
      <c r="E599" s="31" t="s">
        <v>527</v>
      </c>
      <c r="F599" s="21"/>
      <c r="G599" s="13"/>
      <c r="H599" s="13"/>
      <c r="I599" s="39"/>
      <c r="J599" s="39">
        <f t="shared" si="18"/>
        <v>0</v>
      </c>
      <c r="K599" s="39"/>
      <c r="L599" s="39"/>
      <c r="M599" s="10"/>
    </row>
    <row r="600" spans="1:13" ht="21" hidden="1" x14ac:dyDescent="0.2">
      <c r="A600" s="3" t="s">
        <v>666</v>
      </c>
      <c r="B600" s="3" t="s">
        <v>626</v>
      </c>
      <c r="C600" s="2">
        <v>1020132</v>
      </c>
      <c r="D600" s="2"/>
      <c r="E600" s="31" t="s">
        <v>351</v>
      </c>
      <c r="F600" s="21"/>
      <c r="G600" s="13"/>
      <c r="H600" s="13"/>
      <c r="I600" s="39">
        <f>I601</f>
        <v>0</v>
      </c>
      <c r="J600" s="39">
        <f t="shared" si="18"/>
        <v>0</v>
      </c>
      <c r="K600" s="39">
        <f>K601</f>
        <v>0</v>
      </c>
      <c r="L600" s="39">
        <f>L601</f>
        <v>0</v>
      </c>
      <c r="M600" s="10"/>
    </row>
    <row r="601" spans="1:13" ht="17.100000000000001" hidden="1" customHeight="1" x14ac:dyDescent="0.2">
      <c r="A601" s="3" t="s">
        <v>666</v>
      </c>
      <c r="B601" s="3" t="s">
        <v>626</v>
      </c>
      <c r="C601" s="2">
        <v>1020132</v>
      </c>
      <c r="D601" s="3" t="s">
        <v>526</v>
      </c>
      <c r="E601" s="31" t="s">
        <v>527</v>
      </c>
      <c r="F601" s="21"/>
      <c r="G601" s="13"/>
      <c r="H601" s="13"/>
      <c r="I601" s="39"/>
      <c r="J601" s="39">
        <f t="shared" si="18"/>
        <v>0</v>
      </c>
      <c r="K601" s="39"/>
      <c r="L601" s="39"/>
      <c r="M601" s="10"/>
    </row>
    <row r="602" spans="1:13" ht="31.5" hidden="1" x14ac:dyDescent="0.2">
      <c r="A602" s="3" t="s">
        <v>666</v>
      </c>
      <c r="B602" s="3" t="s">
        <v>626</v>
      </c>
      <c r="C602" s="2">
        <v>5222752</v>
      </c>
      <c r="D602" s="2"/>
      <c r="E602" s="31" t="s">
        <v>352</v>
      </c>
      <c r="F602" s="21"/>
      <c r="G602" s="13"/>
      <c r="H602" s="13"/>
      <c r="I602" s="39">
        <f>I603</f>
        <v>0</v>
      </c>
      <c r="J602" s="39">
        <f t="shared" si="18"/>
        <v>0</v>
      </c>
      <c r="K602" s="39">
        <f>K603</f>
        <v>0</v>
      </c>
      <c r="L602" s="39">
        <f>L603</f>
        <v>0</v>
      </c>
      <c r="M602" s="10"/>
    </row>
    <row r="603" spans="1:13" ht="17.100000000000001" hidden="1" customHeight="1" x14ac:dyDescent="0.2">
      <c r="A603" s="3" t="s">
        <v>666</v>
      </c>
      <c r="B603" s="3" t="s">
        <v>626</v>
      </c>
      <c r="C603" s="2">
        <v>5222752</v>
      </c>
      <c r="D603" s="3" t="s">
        <v>526</v>
      </c>
      <c r="E603" s="31" t="s">
        <v>527</v>
      </c>
      <c r="F603" s="21"/>
      <c r="G603" s="13"/>
      <c r="H603" s="13"/>
      <c r="I603" s="39"/>
      <c r="J603" s="39">
        <f t="shared" si="18"/>
        <v>0</v>
      </c>
      <c r="K603" s="39"/>
      <c r="L603" s="39"/>
      <c r="M603" s="10"/>
    </row>
    <row r="604" spans="1:13" ht="31.5" hidden="1" x14ac:dyDescent="0.2">
      <c r="A604" s="3" t="s">
        <v>666</v>
      </c>
      <c r="B604" s="3" t="s">
        <v>626</v>
      </c>
      <c r="C604" s="2">
        <v>5222742</v>
      </c>
      <c r="D604" s="2"/>
      <c r="E604" s="5" t="s">
        <v>260</v>
      </c>
      <c r="F604" s="21"/>
      <c r="G604" s="13"/>
      <c r="H604" s="13"/>
      <c r="I604" s="39">
        <f>I605</f>
        <v>0</v>
      </c>
      <c r="J604" s="39">
        <f t="shared" si="18"/>
        <v>0</v>
      </c>
      <c r="K604" s="39">
        <f>K605</f>
        <v>0</v>
      </c>
      <c r="L604" s="39">
        <f>L605</f>
        <v>0</v>
      </c>
      <c r="M604" s="10"/>
    </row>
    <row r="605" spans="1:13" ht="17.100000000000001" hidden="1" customHeight="1" x14ac:dyDescent="0.2">
      <c r="A605" s="3" t="s">
        <v>666</v>
      </c>
      <c r="B605" s="3" t="s">
        <v>626</v>
      </c>
      <c r="C605" s="2">
        <v>5222742</v>
      </c>
      <c r="D605" s="3" t="s">
        <v>526</v>
      </c>
      <c r="E605" s="5" t="s">
        <v>527</v>
      </c>
      <c r="F605" s="21"/>
      <c r="G605" s="13"/>
      <c r="H605" s="13"/>
      <c r="I605" s="39">
        <v>0</v>
      </c>
      <c r="J605" s="39">
        <f t="shared" si="18"/>
        <v>0</v>
      </c>
      <c r="K605" s="39">
        <v>0</v>
      </c>
      <c r="L605" s="39">
        <v>0</v>
      </c>
      <c r="M605" s="10"/>
    </row>
    <row r="606" spans="1:13" ht="17.100000000000001" hidden="1" customHeight="1" x14ac:dyDescent="0.2">
      <c r="A606" s="3" t="s">
        <v>666</v>
      </c>
      <c r="B606" s="3" t="s">
        <v>626</v>
      </c>
      <c r="C606" s="3" t="s">
        <v>669</v>
      </c>
      <c r="D606" s="2"/>
      <c r="E606" s="5" t="s">
        <v>670</v>
      </c>
      <c r="F606" s="21">
        <f>F607</f>
        <v>1500000</v>
      </c>
      <c r="G606" s="13">
        <f>G607</f>
        <v>0</v>
      </c>
      <c r="H606" s="13">
        <f>H607</f>
        <v>0</v>
      </c>
      <c r="I606" s="39">
        <f>I607</f>
        <v>0</v>
      </c>
      <c r="J606" s="39">
        <f t="shared" si="18"/>
        <v>0</v>
      </c>
      <c r="K606" s="39">
        <f>K607</f>
        <v>0</v>
      </c>
      <c r="L606" s="39">
        <f>L607</f>
        <v>0</v>
      </c>
      <c r="M606" s="10"/>
    </row>
    <row r="607" spans="1:13" ht="17.100000000000001" hidden="1" customHeight="1" x14ac:dyDescent="0.2">
      <c r="A607" s="3" t="s">
        <v>666</v>
      </c>
      <c r="B607" s="3" t="s">
        <v>626</v>
      </c>
      <c r="C607" s="3" t="s">
        <v>669</v>
      </c>
      <c r="D607" s="3" t="s">
        <v>526</v>
      </c>
      <c r="E607" s="5" t="s">
        <v>527</v>
      </c>
      <c r="F607" s="18">
        <v>1500000</v>
      </c>
      <c r="G607" s="17">
        <v>0</v>
      </c>
      <c r="H607" s="17">
        <v>0</v>
      </c>
      <c r="I607" s="40">
        <v>0</v>
      </c>
      <c r="J607" s="39">
        <f t="shared" si="18"/>
        <v>0</v>
      </c>
      <c r="K607" s="40">
        <v>0</v>
      </c>
      <c r="L607" s="40">
        <v>0</v>
      </c>
      <c r="M607" s="10"/>
    </row>
    <row r="608" spans="1:13" ht="15" hidden="1" customHeight="1" x14ac:dyDescent="0.2">
      <c r="A608" s="3" t="s">
        <v>666</v>
      </c>
      <c r="B608" s="3" t="s">
        <v>626</v>
      </c>
      <c r="C608" s="3" t="s">
        <v>669</v>
      </c>
      <c r="D608" s="2"/>
      <c r="E608" s="5" t="s">
        <v>75</v>
      </c>
      <c r="F608" s="18">
        <f>F609</f>
        <v>0</v>
      </c>
      <c r="G608" s="19">
        <f>G609</f>
        <v>166667</v>
      </c>
      <c r="H608" s="19">
        <f>H609</f>
        <v>0</v>
      </c>
      <c r="I608" s="41">
        <f>I609</f>
        <v>0</v>
      </c>
      <c r="J608" s="39">
        <f t="shared" si="18"/>
        <v>0</v>
      </c>
      <c r="K608" s="41">
        <f>K609</f>
        <v>0</v>
      </c>
      <c r="L608" s="41">
        <f>L609</f>
        <v>0</v>
      </c>
      <c r="M608" s="10"/>
    </row>
    <row r="609" spans="1:13" ht="17.100000000000001" hidden="1" customHeight="1" x14ac:dyDescent="0.2">
      <c r="A609" s="3" t="s">
        <v>666</v>
      </c>
      <c r="B609" s="3" t="s">
        <v>626</v>
      </c>
      <c r="C609" s="3" t="s">
        <v>669</v>
      </c>
      <c r="D609" s="3" t="s">
        <v>526</v>
      </c>
      <c r="E609" s="5" t="s">
        <v>527</v>
      </c>
      <c r="F609" s="18">
        <v>0</v>
      </c>
      <c r="G609" s="17">
        <v>166667</v>
      </c>
      <c r="H609" s="17"/>
      <c r="I609" s="40">
        <v>0</v>
      </c>
      <c r="J609" s="39">
        <f t="shared" si="18"/>
        <v>0</v>
      </c>
      <c r="K609" s="40">
        <v>0</v>
      </c>
      <c r="L609" s="40">
        <v>0</v>
      </c>
      <c r="M609" s="10"/>
    </row>
    <row r="610" spans="1:13" ht="17.100000000000001" hidden="1" customHeight="1" x14ac:dyDescent="0.2">
      <c r="A610" s="3" t="s">
        <v>666</v>
      </c>
      <c r="B610" s="3" t="s">
        <v>671</v>
      </c>
      <c r="C610" s="2"/>
      <c r="D610" s="2"/>
      <c r="E610" s="5" t="s">
        <v>0</v>
      </c>
      <c r="F610" s="15">
        <f>F611+F613+F615</f>
        <v>1118250</v>
      </c>
      <c r="G610" s="13">
        <f>G611+G613+G615</f>
        <v>-124250</v>
      </c>
      <c r="H610" s="13">
        <f>H611+H613+H615</f>
        <v>0</v>
      </c>
      <c r="I610" s="39">
        <f>I611+I613+I615</f>
        <v>0</v>
      </c>
      <c r="J610" s="39">
        <f t="shared" si="18"/>
        <v>0</v>
      </c>
      <c r="K610" s="39">
        <f>K611+K613+K615</f>
        <v>0</v>
      </c>
      <c r="L610" s="39">
        <f>L611+L613+L615</f>
        <v>0</v>
      </c>
      <c r="M610" s="10"/>
    </row>
    <row r="611" spans="1:13" ht="26.25" hidden="1" customHeight="1" x14ac:dyDescent="0.2">
      <c r="A611" s="3" t="s">
        <v>666</v>
      </c>
      <c r="B611" s="3" t="s">
        <v>671</v>
      </c>
      <c r="C611" s="3" t="s">
        <v>1</v>
      </c>
      <c r="D611" s="2"/>
      <c r="E611" s="5" t="s">
        <v>2</v>
      </c>
      <c r="F611" s="21">
        <f>F612</f>
        <v>223650</v>
      </c>
      <c r="G611" s="13">
        <f>G612</f>
        <v>-223650</v>
      </c>
      <c r="H611" s="13">
        <f>H612</f>
        <v>0</v>
      </c>
      <c r="I611" s="39">
        <f>I612</f>
        <v>0</v>
      </c>
      <c r="J611" s="39">
        <f t="shared" si="18"/>
        <v>0</v>
      </c>
      <c r="K611" s="39">
        <f>K612</f>
        <v>0</v>
      </c>
      <c r="L611" s="39">
        <f>L612</f>
        <v>0</v>
      </c>
      <c r="M611" s="10"/>
    </row>
    <row r="612" spans="1:13" ht="17.100000000000001" hidden="1" customHeight="1" x14ac:dyDescent="0.2">
      <c r="A612" s="3" t="s">
        <v>666</v>
      </c>
      <c r="B612" s="3" t="s">
        <v>671</v>
      </c>
      <c r="C612" s="3" t="s">
        <v>1</v>
      </c>
      <c r="D612" s="3" t="s">
        <v>526</v>
      </c>
      <c r="E612" s="5" t="s">
        <v>527</v>
      </c>
      <c r="F612" s="18">
        <v>223650</v>
      </c>
      <c r="G612" s="17">
        <v>-223650</v>
      </c>
      <c r="H612" s="17"/>
      <c r="I612" s="40">
        <v>0</v>
      </c>
      <c r="J612" s="39">
        <f t="shared" si="18"/>
        <v>0</v>
      </c>
      <c r="K612" s="40">
        <v>0</v>
      </c>
      <c r="L612" s="40">
        <v>0</v>
      </c>
      <c r="M612" s="10"/>
    </row>
    <row r="613" spans="1:13" ht="17.100000000000001" hidden="1" customHeight="1" x14ac:dyDescent="0.2">
      <c r="A613" s="3" t="s">
        <v>666</v>
      </c>
      <c r="B613" s="3" t="s">
        <v>671</v>
      </c>
      <c r="C613" s="3" t="s">
        <v>669</v>
      </c>
      <c r="D613" s="2"/>
      <c r="E613" s="5" t="s">
        <v>670</v>
      </c>
      <c r="F613" s="18">
        <f>F614</f>
        <v>894600</v>
      </c>
      <c r="G613" s="19">
        <f>G614</f>
        <v>0</v>
      </c>
      <c r="H613" s="19">
        <f>H614</f>
        <v>0</v>
      </c>
      <c r="I613" s="41">
        <f>I614</f>
        <v>0</v>
      </c>
      <c r="J613" s="39">
        <f t="shared" si="18"/>
        <v>0</v>
      </c>
      <c r="K613" s="41">
        <f>K614</f>
        <v>0</v>
      </c>
      <c r="L613" s="41">
        <f>L614</f>
        <v>0</v>
      </c>
      <c r="M613" s="10"/>
    </row>
    <row r="614" spans="1:13" ht="17.100000000000001" hidden="1" customHeight="1" x14ac:dyDescent="0.2">
      <c r="A614" s="3" t="s">
        <v>666</v>
      </c>
      <c r="B614" s="3" t="s">
        <v>671</v>
      </c>
      <c r="C614" s="3" t="s">
        <v>669</v>
      </c>
      <c r="D614" s="3" t="s">
        <v>526</v>
      </c>
      <c r="E614" s="5" t="s">
        <v>527</v>
      </c>
      <c r="F614" s="18">
        <v>894600</v>
      </c>
      <c r="G614" s="17">
        <v>0</v>
      </c>
      <c r="H614" s="17">
        <v>0</v>
      </c>
      <c r="I614" s="40">
        <v>0</v>
      </c>
      <c r="J614" s="39">
        <f t="shared" si="18"/>
        <v>0</v>
      </c>
      <c r="K614" s="40">
        <v>0</v>
      </c>
      <c r="L614" s="40">
        <v>0</v>
      </c>
      <c r="M614" s="10"/>
    </row>
    <row r="615" spans="1:13" ht="17.100000000000001" hidden="1" customHeight="1" x14ac:dyDescent="0.2">
      <c r="A615" s="3" t="s">
        <v>666</v>
      </c>
      <c r="B615" s="3" t="s">
        <v>671</v>
      </c>
      <c r="C615" s="3" t="s">
        <v>669</v>
      </c>
      <c r="D615" s="2"/>
      <c r="E615" s="11" t="s">
        <v>527</v>
      </c>
      <c r="F615" s="18">
        <f>F616</f>
        <v>0</v>
      </c>
      <c r="G615" s="19">
        <f>G616</f>
        <v>99400</v>
      </c>
      <c r="H615" s="19">
        <f>H616</f>
        <v>0</v>
      </c>
      <c r="I615" s="41">
        <f>I616</f>
        <v>0</v>
      </c>
      <c r="J615" s="39">
        <f t="shared" si="18"/>
        <v>0</v>
      </c>
      <c r="K615" s="41">
        <f>K616</f>
        <v>0</v>
      </c>
      <c r="L615" s="41">
        <f>L616</f>
        <v>0</v>
      </c>
      <c r="M615" s="10"/>
    </row>
    <row r="616" spans="1:13" ht="17.25" hidden="1" customHeight="1" x14ac:dyDescent="0.2">
      <c r="A616" s="3" t="s">
        <v>666</v>
      </c>
      <c r="B616" s="3" t="s">
        <v>671</v>
      </c>
      <c r="C616" s="3" t="s">
        <v>669</v>
      </c>
      <c r="D616" s="3" t="s">
        <v>526</v>
      </c>
      <c r="E616" s="11" t="s">
        <v>62</v>
      </c>
      <c r="F616" s="18">
        <v>0</v>
      </c>
      <c r="G616" s="17">
        <v>99400</v>
      </c>
      <c r="H616" s="17"/>
      <c r="I616" s="40">
        <v>0</v>
      </c>
      <c r="J616" s="39">
        <f t="shared" si="18"/>
        <v>0</v>
      </c>
      <c r="K616" s="40">
        <v>0</v>
      </c>
      <c r="L616" s="40">
        <v>0</v>
      </c>
      <c r="M616" s="10"/>
    </row>
    <row r="617" spans="1:13" ht="14.25" customHeight="1" x14ac:dyDescent="0.2">
      <c r="A617" s="3" t="s">
        <v>666</v>
      </c>
      <c r="B617" s="3" t="s">
        <v>528</v>
      </c>
      <c r="C617" s="2"/>
      <c r="D617" s="2"/>
      <c r="E617" s="5" t="s">
        <v>529</v>
      </c>
      <c r="F617" s="15">
        <f>F618+F632+F634</f>
        <v>4276350</v>
      </c>
      <c r="G617" s="13">
        <f>G618+G632+G634</f>
        <v>-1565778</v>
      </c>
      <c r="H617" s="13">
        <f>H618+H632+H634</f>
        <v>0</v>
      </c>
      <c r="I617" s="39">
        <f>I618+I632+I634+I626+I628+I630+I620+I636+I622+I624</f>
        <v>7500000</v>
      </c>
      <c r="J617" s="39">
        <f t="shared" si="18"/>
        <v>1000000</v>
      </c>
      <c r="K617" s="39">
        <f>K618+K632+K634+K626+K628+K630+K620+K636+K622+K624</f>
        <v>8500000</v>
      </c>
      <c r="L617" s="39">
        <f>L618+L632+L634+L626+L628+L630+L620+L636+L622+L624</f>
        <v>1000000</v>
      </c>
      <c r="M617" s="10"/>
    </row>
    <row r="618" spans="1:13" ht="30" hidden="1" customHeight="1" x14ac:dyDescent="0.2">
      <c r="A618" s="3" t="s">
        <v>666</v>
      </c>
      <c r="B618" s="3" t="s">
        <v>528</v>
      </c>
      <c r="C618" s="3" t="s">
        <v>3</v>
      </c>
      <c r="D618" s="2"/>
      <c r="E618" s="5" t="s">
        <v>4</v>
      </c>
      <c r="F618" s="15">
        <f>F619</f>
        <v>2276350</v>
      </c>
      <c r="G618" s="13">
        <f>G619</f>
        <v>-1788000</v>
      </c>
      <c r="H618" s="13">
        <f>H619</f>
        <v>0</v>
      </c>
      <c r="I618" s="39">
        <f>I619</f>
        <v>0</v>
      </c>
      <c r="J618" s="39">
        <f t="shared" si="18"/>
        <v>0</v>
      </c>
      <c r="K618" s="39">
        <f>K619</f>
        <v>0</v>
      </c>
      <c r="L618" s="39">
        <f>L619</f>
        <v>0</v>
      </c>
      <c r="M618" s="10"/>
    </row>
    <row r="619" spans="1:13" ht="17.100000000000001" hidden="1" customHeight="1" x14ac:dyDescent="0.2">
      <c r="A619" s="3" t="s">
        <v>666</v>
      </c>
      <c r="B619" s="3" t="s">
        <v>528</v>
      </c>
      <c r="C619" s="3" t="s">
        <v>3</v>
      </c>
      <c r="D619" s="3" t="s">
        <v>526</v>
      </c>
      <c r="E619" s="5" t="s">
        <v>527</v>
      </c>
      <c r="F619" s="16">
        <v>2276350</v>
      </c>
      <c r="G619" s="17">
        <v>-1788000</v>
      </c>
      <c r="H619" s="17"/>
      <c r="I619" s="40">
        <v>0</v>
      </c>
      <c r="J619" s="39">
        <f t="shared" si="18"/>
        <v>0</v>
      </c>
      <c r="K619" s="40">
        <v>0</v>
      </c>
      <c r="L619" s="40">
        <v>0</v>
      </c>
      <c r="M619" s="10"/>
    </row>
    <row r="620" spans="1:13" ht="17.100000000000001" hidden="1" customHeight="1" x14ac:dyDescent="0.2">
      <c r="A620" s="3" t="s">
        <v>666</v>
      </c>
      <c r="B620" s="3" t="s">
        <v>528</v>
      </c>
      <c r="C620" s="3" t="s">
        <v>318</v>
      </c>
      <c r="D620" s="3"/>
      <c r="E620" s="31" t="s">
        <v>348</v>
      </c>
      <c r="F620" s="16"/>
      <c r="G620" s="17"/>
      <c r="H620" s="17"/>
      <c r="I620" s="40">
        <f>I621</f>
        <v>0</v>
      </c>
      <c r="J620" s="39">
        <f t="shared" si="18"/>
        <v>0</v>
      </c>
      <c r="K620" s="40">
        <f>K621</f>
        <v>0</v>
      </c>
      <c r="L620" s="40">
        <f>L621</f>
        <v>0</v>
      </c>
      <c r="M620" s="10"/>
    </row>
    <row r="621" spans="1:13" ht="17.100000000000001" hidden="1" customHeight="1" x14ac:dyDescent="0.2">
      <c r="A621" s="3" t="s">
        <v>666</v>
      </c>
      <c r="B621" s="3" t="s">
        <v>528</v>
      </c>
      <c r="C621" s="3" t="s">
        <v>318</v>
      </c>
      <c r="D621" s="3" t="s">
        <v>482</v>
      </c>
      <c r="E621" s="31" t="s">
        <v>483</v>
      </c>
      <c r="F621" s="16"/>
      <c r="G621" s="17"/>
      <c r="H621" s="17"/>
      <c r="I621" s="40"/>
      <c r="J621" s="39">
        <f t="shared" si="18"/>
        <v>0</v>
      </c>
      <c r="K621" s="40"/>
      <c r="L621" s="40"/>
      <c r="M621" s="10"/>
    </row>
    <row r="622" spans="1:13" ht="26.25" hidden="1" customHeight="1" x14ac:dyDescent="0.2">
      <c r="A622" s="3" t="s">
        <v>666</v>
      </c>
      <c r="B622" s="3" t="s">
        <v>528</v>
      </c>
      <c r="C622" s="3" t="s">
        <v>363</v>
      </c>
      <c r="D622" s="3"/>
      <c r="E622" s="31" t="s">
        <v>368</v>
      </c>
      <c r="F622" s="16"/>
      <c r="G622" s="17"/>
      <c r="H622" s="17"/>
      <c r="I622" s="40">
        <f>I623</f>
        <v>0</v>
      </c>
      <c r="J622" s="39">
        <f t="shared" si="18"/>
        <v>0</v>
      </c>
      <c r="K622" s="40">
        <f>K623</f>
        <v>0</v>
      </c>
      <c r="L622" s="40">
        <f>L623</f>
        <v>0</v>
      </c>
      <c r="M622" s="10"/>
    </row>
    <row r="623" spans="1:13" ht="17.100000000000001" hidden="1" customHeight="1" x14ac:dyDescent="0.2">
      <c r="A623" s="3" t="s">
        <v>666</v>
      </c>
      <c r="B623" s="3" t="s">
        <v>528</v>
      </c>
      <c r="C623" s="3" t="s">
        <v>363</v>
      </c>
      <c r="D623" s="3" t="s">
        <v>526</v>
      </c>
      <c r="E623" s="31" t="s">
        <v>527</v>
      </c>
      <c r="F623" s="16"/>
      <c r="G623" s="17"/>
      <c r="H623" s="17"/>
      <c r="I623" s="40"/>
      <c r="J623" s="39">
        <f t="shared" si="18"/>
        <v>0</v>
      </c>
      <c r="K623" s="40"/>
      <c r="L623" s="40"/>
      <c r="M623" s="10"/>
    </row>
    <row r="624" spans="1:13" ht="27.75" customHeight="1" x14ac:dyDescent="0.2">
      <c r="A624" s="3" t="s">
        <v>666</v>
      </c>
      <c r="B624" s="3" t="s">
        <v>528</v>
      </c>
      <c r="C624" s="3" t="s">
        <v>390</v>
      </c>
      <c r="D624" s="3"/>
      <c r="E624" s="31" t="s">
        <v>391</v>
      </c>
      <c r="F624" s="16"/>
      <c r="G624" s="17"/>
      <c r="H624" s="17"/>
      <c r="I624" s="40">
        <f>I625</f>
        <v>0</v>
      </c>
      <c r="J624" s="39">
        <f t="shared" si="18"/>
        <v>1000000</v>
      </c>
      <c r="K624" s="40">
        <f>K625</f>
        <v>1000000</v>
      </c>
      <c r="L624" s="40">
        <f>L625</f>
        <v>1000000</v>
      </c>
      <c r="M624" s="10"/>
    </row>
    <row r="625" spans="1:14" ht="17.100000000000001" customHeight="1" x14ac:dyDescent="0.2">
      <c r="A625" s="3" t="s">
        <v>666</v>
      </c>
      <c r="B625" s="3" t="s">
        <v>528</v>
      </c>
      <c r="C625" s="3" t="s">
        <v>390</v>
      </c>
      <c r="D625" s="3" t="s">
        <v>526</v>
      </c>
      <c r="E625" s="31" t="s">
        <v>527</v>
      </c>
      <c r="F625" s="16"/>
      <c r="G625" s="17"/>
      <c r="H625" s="17"/>
      <c r="I625" s="40">
        <v>0</v>
      </c>
      <c r="J625" s="39">
        <f t="shared" si="18"/>
        <v>1000000</v>
      </c>
      <c r="K625" s="40">
        <v>1000000</v>
      </c>
      <c r="L625" s="40">
        <v>1000000</v>
      </c>
      <c r="M625" s="10"/>
    </row>
    <row r="626" spans="1:14" ht="22.5" hidden="1" customHeight="1" x14ac:dyDescent="0.2">
      <c r="A626" s="3" t="s">
        <v>666</v>
      </c>
      <c r="B626" s="3" t="s">
        <v>528</v>
      </c>
      <c r="C626" s="3" t="s">
        <v>165</v>
      </c>
      <c r="D626" s="3"/>
      <c r="E626" s="5" t="s">
        <v>224</v>
      </c>
      <c r="F626" s="16"/>
      <c r="G626" s="17"/>
      <c r="H626" s="17"/>
      <c r="I626" s="40">
        <f>I627</f>
        <v>0</v>
      </c>
      <c r="J626" s="39">
        <f t="shared" si="18"/>
        <v>0</v>
      </c>
      <c r="K626" s="40">
        <f>K627</f>
        <v>0</v>
      </c>
      <c r="L626" s="40">
        <f>L627</f>
        <v>0</v>
      </c>
      <c r="M626" s="10"/>
    </row>
    <row r="627" spans="1:14" ht="17.100000000000001" hidden="1" customHeight="1" x14ac:dyDescent="0.2">
      <c r="A627" s="3" t="s">
        <v>666</v>
      </c>
      <c r="B627" s="3" t="s">
        <v>528</v>
      </c>
      <c r="C627" s="3" t="s">
        <v>165</v>
      </c>
      <c r="D627" s="3" t="s">
        <v>482</v>
      </c>
      <c r="E627" s="5" t="s">
        <v>483</v>
      </c>
      <c r="F627" s="16"/>
      <c r="G627" s="17"/>
      <c r="H627" s="17"/>
      <c r="I627" s="40"/>
      <c r="J627" s="39">
        <f t="shared" si="18"/>
        <v>0</v>
      </c>
      <c r="K627" s="40"/>
      <c r="L627" s="40"/>
      <c r="M627" s="10"/>
    </row>
    <row r="628" spans="1:14" ht="23.25" customHeight="1" x14ac:dyDescent="0.2">
      <c r="A628" s="3" t="s">
        <v>666</v>
      </c>
      <c r="B628" s="3" t="s">
        <v>528</v>
      </c>
      <c r="C628" s="3" t="s">
        <v>166</v>
      </c>
      <c r="D628" s="3"/>
      <c r="E628" s="5" t="s">
        <v>231</v>
      </c>
      <c r="F628" s="16"/>
      <c r="G628" s="17"/>
      <c r="H628" s="17"/>
      <c r="I628" s="40">
        <f>I629</f>
        <v>7500000</v>
      </c>
      <c r="J628" s="39">
        <f t="shared" si="18"/>
        <v>0</v>
      </c>
      <c r="K628" s="40">
        <f>K629</f>
        <v>7500000</v>
      </c>
      <c r="L628" s="40">
        <f>L629</f>
        <v>0</v>
      </c>
      <c r="M628" s="10"/>
    </row>
    <row r="629" spans="1:14" ht="17.100000000000001" customHeight="1" x14ac:dyDescent="0.2">
      <c r="A629" s="3" t="s">
        <v>666</v>
      </c>
      <c r="B629" s="3" t="s">
        <v>528</v>
      </c>
      <c r="C629" s="3" t="s">
        <v>166</v>
      </c>
      <c r="D629" s="3" t="s">
        <v>482</v>
      </c>
      <c r="E629" s="5" t="s">
        <v>483</v>
      </c>
      <c r="F629" s="16"/>
      <c r="G629" s="17"/>
      <c r="H629" s="17"/>
      <c r="I629" s="40">
        <v>7500000</v>
      </c>
      <c r="J629" s="39">
        <f t="shared" si="18"/>
        <v>0</v>
      </c>
      <c r="K629" s="40">
        <v>7500000</v>
      </c>
      <c r="L629" s="40">
        <v>0</v>
      </c>
      <c r="M629" s="10"/>
    </row>
    <row r="630" spans="1:14" ht="25.5" hidden="1" customHeight="1" x14ac:dyDescent="0.2">
      <c r="A630" s="3" t="s">
        <v>666</v>
      </c>
      <c r="B630" s="3" t="s">
        <v>528</v>
      </c>
      <c r="C630" s="3" t="s">
        <v>167</v>
      </c>
      <c r="D630" s="3"/>
      <c r="E630" s="5" t="s">
        <v>224</v>
      </c>
      <c r="F630" s="16"/>
      <c r="G630" s="17"/>
      <c r="H630" s="17"/>
      <c r="I630" s="40">
        <f>I631</f>
        <v>0</v>
      </c>
      <c r="J630" s="39">
        <f t="shared" si="18"/>
        <v>0</v>
      </c>
      <c r="K630" s="40">
        <f>K631</f>
        <v>0</v>
      </c>
      <c r="L630" s="40">
        <f>L631</f>
        <v>0</v>
      </c>
      <c r="M630" s="10"/>
    </row>
    <row r="631" spans="1:14" ht="17.100000000000001" hidden="1" customHeight="1" x14ac:dyDescent="0.2">
      <c r="A631" s="3" t="s">
        <v>666</v>
      </c>
      <c r="B631" s="3" t="s">
        <v>528</v>
      </c>
      <c r="C631" s="3" t="s">
        <v>167</v>
      </c>
      <c r="D631" s="3" t="s">
        <v>482</v>
      </c>
      <c r="E631" s="5" t="s">
        <v>483</v>
      </c>
      <c r="F631" s="16"/>
      <c r="G631" s="17"/>
      <c r="H631" s="17"/>
      <c r="I631" s="40"/>
      <c r="J631" s="39">
        <f t="shared" si="18"/>
        <v>0</v>
      </c>
      <c r="K631" s="40"/>
      <c r="L631" s="40"/>
      <c r="M631" s="10"/>
    </row>
    <row r="632" spans="1:14" ht="31.5" hidden="1" x14ac:dyDescent="0.2">
      <c r="A632" s="3" t="s">
        <v>666</v>
      </c>
      <c r="B632" s="3" t="s">
        <v>528</v>
      </c>
      <c r="C632" s="3" t="s">
        <v>319</v>
      </c>
      <c r="D632" s="2"/>
      <c r="E632" s="31" t="s">
        <v>353</v>
      </c>
      <c r="F632" s="21">
        <f>F633</f>
        <v>2000000</v>
      </c>
      <c r="G632" s="13">
        <f>G633</f>
        <v>0</v>
      </c>
      <c r="H632" s="13">
        <f>H633</f>
        <v>0</v>
      </c>
      <c r="I632" s="39">
        <f>I633</f>
        <v>0</v>
      </c>
      <c r="J632" s="39">
        <f t="shared" si="18"/>
        <v>0</v>
      </c>
      <c r="K632" s="39">
        <f>K633</f>
        <v>0</v>
      </c>
      <c r="L632" s="39">
        <f>L633</f>
        <v>0</v>
      </c>
      <c r="M632" s="10"/>
    </row>
    <row r="633" spans="1:14" ht="17.100000000000001" hidden="1" customHeight="1" x14ac:dyDescent="0.2">
      <c r="A633" s="3" t="s">
        <v>666</v>
      </c>
      <c r="B633" s="3" t="s">
        <v>528</v>
      </c>
      <c r="C633" s="3" t="s">
        <v>319</v>
      </c>
      <c r="D633" s="3" t="s">
        <v>482</v>
      </c>
      <c r="E633" s="31" t="s">
        <v>483</v>
      </c>
      <c r="F633" s="18">
        <v>2000000</v>
      </c>
      <c r="G633" s="17">
        <v>0</v>
      </c>
      <c r="H633" s="17">
        <v>0</v>
      </c>
      <c r="I633" s="40"/>
      <c r="J633" s="39">
        <f t="shared" si="18"/>
        <v>0</v>
      </c>
      <c r="K633" s="40"/>
      <c r="L633" s="40"/>
      <c r="M633" s="47"/>
      <c r="N633" s="9"/>
    </row>
    <row r="634" spans="1:14" ht="31.5" hidden="1" x14ac:dyDescent="0.2">
      <c r="A634" s="3" t="s">
        <v>666</v>
      </c>
      <c r="B634" s="3" t="s">
        <v>528</v>
      </c>
      <c r="C634" s="3" t="s">
        <v>320</v>
      </c>
      <c r="D634" s="2"/>
      <c r="E634" s="31" t="s">
        <v>354</v>
      </c>
      <c r="F634" s="18">
        <f>F635</f>
        <v>0</v>
      </c>
      <c r="G634" s="19">
        <f>G635</f>
        <v>222222</v>
      </c>
      <c r="H634" s="19">
        <f>H635</f>
        <v>0</v>
      </c>
      <c r="I634" s="41">
        <f>I635</f>
        <v>0</v>
      </c>
      <c r="J634" s="39">
        <f t="shared" si="18"/>
        <v>0</v>
      </c>
      <c r="K634" s="41">
        <f>K635</f>
        <v>0</v>
      </c>
      <c r="L634" s="41">
        <f>L635</f>
        <v>0</v>
      </c>
      <c r="M634" s="47"/>
      <c r="N634" s="9"/>
    </row>
    <row r="635" spans="1:14" ht="17.25" hidden="1" customHeight="1" x14ac:dyDescent="0.2">
      <c r="A635" s="3" t="s">
        <v>666</v>
      </c>
      <c r="B635" s="3" t="s">
        <v>528</v>
      </c>
      <c r="C635" s="3" t="s">
        <v>320</v>
      </c>
      <c r="D635" s="3" t="s">
        <v>482</v>
      </c>
      <c r="E635" s="31" t="s">
        <v>483</v>
      </c>
      <c r="F635" s="18">
        <v>0</v>
      </c>
      <c r="G635" s="17">
        <v>222222</v>
      </c>
      <c r="H635" s="17"/>
      <c r="I635" s="40"/>
      <c r="J635" s="39">
        <f t="shared" si="18"/>
        <v>0</v>
      </c>
      <c r="K635" s="40"/>
      <c r="L635" s="40"/>
      <c r="M635" s="47"/>
      <c r="N635" s="9"/>
    </row>
    <row r="636" spans="1:14" ht="31.5" hidden="1" x14ac:dyDescent="0.2">
      <c r="A636" s="3" t="s">
        <v>666</v>
      </c>
      <c r="B636" s="3" t="s">
        <v>528</v>
      </c>
      <c r="C636" s="3" t="s">
        <v>323</v>
      </c>
      <c r="D636" s="3"/>
      <c r="E636" s="31" t="s">
        <v>355</v>
      </c>
      <c r="F636" s="18"/>
      <c r="G636" s="17"/>
      <c r="H636" s="17"/>
      <c r="I636" s="40">
        <f>I637</f>
        <v>0</v>
      </c>
      <c r="J636" s="39">
        <f t="shared" si="18"/>
        <v>0</v>
      </c>
      <c r="K636" s="40">
        <f>K637</f>
        <v>0</v>
      </c>
      <c r="L636" s="40">
        <f>L637</f>
        <v>0</v>
      </c>
      <c r="M636" s="47"/>
      <c r="N636" s="9"/>
    </row>
    <row r="637" spans="1:14" ht="17.25" hidden="1" customHeight="1" x14ac:dyDescent="0.2">
      <c r="A637" s="3" t="s">
        <v>666</v>
      </c>
      <c r="B637" s="3" t="s">
        <v>528</v>
      </c>
      <c r="C637" s="3" t="s">
        <v>323</v>
      </c>
      <c r="D637" s="3" t="s">
        <v>482</v>
      </c>
      <c r="E637" s="31" t="s">
        <v>483</v>
      </c>
      <c r="F637" s="18"/>
      <c r="G637" s="17"/>
      <c r="H637" s="17"/>
      <c r="I637" s="40"/>
      <c r="J637" s="39">
        <f t="shared" si="18"/>
        <v>0</v>
      </c>
      <c r="K637" s="40"/>
      <c r="L637" s="40"/>
      <c r="M637" s="47"/>
      <c r="N637" s="9"/>
    </row>
    <row r="638" spans="1:14" ht="17.25" hidden="1" customHeight="1" x14ac:dyDescent="0.2">
      <c r="A638" s="3" t="s">
        <v>666</v>
      </c>
      <c r="B638" s="3" t="s">
        <v>601</v>
      </c>
      <c r="C638" s="3"/>
      <c r="D638" s="3"/>
      <c r="E638" s="31" t="s">
        <v>602</v>
      </c>
      <c r="F638" s="18"/>
      <c r="G638" s="17"/>
      <c r="H638" s="17"/>
      <c r="I638" s="40">
        <f>I639+I641</f>
        <v>0</v>
      </c>
      <c r="J638" s="39">
        <f t="shared" si="18"/>
        <v>0</v>
      </c>
      <c r="K638" s="40">
        <f>K639+K641</f>
        <v>0</v>
      </c>
      <c r="L638" s="40">
        <f>L639+L641</f>
        <v>0</v>
      </c>
      <c r="M638" s="47"/>
      <c r="N638" s="9"/>
    </row>
    <row r="639" spans="1:14" ht="21" hidden="1" x14ac:dyDescent="0.2">
      <c r="A639" s="3" t="s">
        <v>666</v>
      </c>
      <c r="B639" s="3" t="s">
        <v>601</v>
      </c>
      <c r="C639" s="3" t="s">
        <v>168</v>
      </c>
      <c r="D639" s="3"/>
      <c r="E639" s="31" t="s">
        <v>224</v>
      </c>
      <c r="F639" s="18"/>
      <c r="G639" s="17"/>
      <c r="H639" s="17"/>
      <c r="I639" s="40">
        <f>I640</f>
        <v>0</v>
      </c>
      <c r="J639" s="39">
        <f t="shared" si="18"/>
        <v>0</v>
      </c>
      <c r="K639" s="40">
        <f>K640</f>
        <v>0</v>
      </c>
      <c r="L639" s="40">
        <f>L640</f>
        <v>0</v>
      </c>
      <c r="M639" s="47"/>
      <c r="N639" s="9"/>
    </row>
    <row r="640" spans="1:14" ht="17.25" hidden="1" customHeight="1" x14ac:dyDescent="0.2">
      <c r="A640" s="3" t="s">
        <v>666</v>
      </c>
      <c r="B640" s="3" t="s">
        <v>601</v>
      </c>
      <c r="C640" s="3" t="s">
        <v>168</v>
      </c>
      <c r="D640" s="3" t="s">
        <v>482</v>
      </c>
      <c r="E640" s="31" t="s">
        <v>483</v>
      </c>
      <c r="F640" s="18"/>
      <c r="G640" s="17"/>
      <c r="H640" s="17"/>
      <c r="I640" s="40"/>
      <c r="J640" s="39">
        <f t="shared" si="18"/>
        <v>0</v>
      </c>
      <c r="K640" s="40"/>
      <c r="L640" s="40"/>
      <c r="M640" s="47"/>
      <c r="N640" s="9"/>
    </row>
    <row r="641" spans="1:14" ht="21" hidden="1" x14ac:dyDescent="0.2">
      <c r="A641" s="3" t="s">
        <v>666</v>
      </c>
      <c r="B641" s="3" t="s">
        <v>601</v>
      </c>
      <c r="C641" s="3" t="s">
        <v>169</v>
      </c>
      <c r="D641" s="3"/>
      <c r="E641" s="31" t="s">
        <v>231</v>
      </c>
      <c r="F641" s="18"/>
      <c r="G641" s="17"/>
      <c r="H641" s="17"/>
      <c r="I641" s="40">
        <f>I642</f>
        <v>0</v>
      </c>
      <c r="J641" s="39">
        <f t="shared" si="18"/>
        <v>0</v>
      </c>
      <c r="K641" s="40">
        <f>K642</f>
        <v>0</v>
      </c>
      <c r="L641" s="40">
        <f>L642</f>
        <v>0</v>
      </c>
      <c r="M641" s="47"/>
      <c r="N641" s="9"/>
    </row>
    <row r="642" spans="1:14" ht="17.25" hidden="1" customHeight="1" x14ac:dyDescent="0.2">
      <c r="A642" s="3" t="s">
        <v>666</v>
      </c>
      <c r="B642" s="3" t="s">
        <v>601</v>
      </c>
      <c r="C642" s="3" t="s">
        <v>169</v>
      </c>
      <c r="D642" s="3" t="s">
        <v>482</v>
      </c>
      <c r="E642" s="31" t="s">
        <v>483</v>
      </c>
      <c r="F642" s="18"/>
      <c r="G642" s="17"/>
      <c r="H642" s="17"/>
      <c r="I642" s="40"/>
      <c r="J642" s="39">
        <f t="shared" si="18"/>
        <v>0</v>
      </c>
      <c r="K642" s="40"/>
      <c r="L642" s="40"/>
      <c r="M642" s="47"/>
      <c r="N642" s="9"/>
    </row>
    <row r="643" spans="1:14" ht="13.5" customHeight="1" x14ac:dyDescent="0.2">
      <c r="A643" s="3" t="s">
        <v>666</v>
      </c>
      <c r="B643" s="3" t="s">
        <v>556</v>
      </c>
      <c r="C643" s="3"/>
      <c r="D643" s="3"/>
      <c r="E643" s="5" t="s">
        <v>557</v>
      </c>
      <c r="F643" s="18"/>
      <c r="G643" s="17"/>
      <c r="H643" s="17"/>
      <c r="I643" s="40">
        <f>I644</f>
        <v>0</v>
      </c>
      <c r="J643" s="39">
        <f t="shared" si="18"/>
        <v>2000000</v>
      </c>
      <c r="K643" s="40">
        <f>K644</f>
        <v>2000000</v>
      </c>
      <c r="L643" s="40">
        <f>L644</f>
        <v>2000000</v>
      </c>
      <c r="M643" s="47"/>
      <c r="N643" s="9"/>
    </row>
    <row r="644" spans="1:14" ht="16.5" customHeight="1" x14ac:dyDescent="0.2">
      <c r="A644" s="3" t="s">
        <v>666</v>
      </c>
      <c r="B644" s="3" t="s">
        <v>556</v>
      </c>
      <c r="C644" s="3" t="s">
        <v>560</v>
      </c>
      <c r="D644" s="3"/>
      <c r="E644" s="5" t="s">
        <v>531</v>
      </c>
      <c r="F644" s="18"/>
      <c r="G644" s="17"/>
      <c r="H644" s="17"/>
      <c r="I644" s="40">
        <f>I645</f>
        <v>0</v>
      </c>
      <c r="J644" s="39">
        <f t="shared" si="18"/>
        <v>2000000</v>
      </c>
      <c r="K644" s="40">
        <f>K645</f>
        <v>2000000</v>
      </c>
      <c r="L644" s="40">
        <f>L645</f>
        <v>2000000</v>
      </c>
      <c r="M644" s="47"/>
      <c r="N644" s="9"/>
    </row>
    <row r="645" spans="1:14" ht="18.75" customHeight="1" x14ac:dyDescent="0.2">
      <c r="A645" s="3" t="s">
        <v>666</v>
      </c>
      <c r="B645" s="3" t="s">
        <v>556</v>
      </c>
      <c r="C645" s="3" t="s">
        <v>560</v>
      </c>
      <c r="D645" s="3" t="s">
        <v>526</v>
      </c>
      <c r="E645" s="31" t="s">
        <v>527</v>
      </c>
      <c r="F645" s="18"/>
      <c r="G645" s="17"/>
      <c r="H645" s="17"/>
      <c r="I645" s="40">
        <v>0</v>
      </c>
      <c r="J645" s="39">
        <f t="shared" si="18"/>
        <v>2000000</v>
      </c>
      <c r="K645" s="40">
        <v>2000000</v>
      </c>
      <c r="L645" s="40">
        <v>2000000</v>
      </c>
      <c r="M645" s="47"/>
      <c r="N645" s="9"/>
    </row>
    <row r="646" spans="1:14" ht="18" hidden="1" customHeight="1" x14ac:dyDescent="0.2">
      <c r="A646" s="3" t="s">
        <v>666</v>
      </c>
      <c r="B646" s="3" t="s">
        <v>540</v>
      </c>
      <c r="C646" s="3"/>
      <c r="D646" s="3"/>
      <c r="E646" s="31" t="s">
        <v>541</v>
      </c>
      <c r="F646" s="18"/>
      <c r="G646" s="17"/>
      <c r="H646" s="17"/>
      <c r="I646" s="40">
        <f>I647+I649</f>
        <v>0</v>
      </c>
      <c r="J646" s="39">
        <f t="shared" si="18"/>
        <v>0</v>
      </c>
      <c r="K646" s="40">
        <f>K647+K649</f>
        <v>0</v>
      </c>
      <c r="L646" s="40">
        <f>L647+L649</f>
        <v>0</v>
      </c>
      <c r="M646" s="47"/>
      <c r="N646" s="9"/>
    </row>
    <row r="647" spans="1:14" ht="20.25" hidden="1" customHeight="1" x14ac:dyDescent="0.2">
      <c r="A647" s="3" t="s">
        <v>666</v>
      </c>
      <c r="B647" s="3" t="s">
        <v>540</v>
      </c>
      <c r="C647" s="3" t="s">
        <v>196</v>
      </c>
      <c r="D647" s="3"/>
      <c r="E647" s="31" t="s">
        <v>268</v>
      </c>
      <c r="F647" s="18"/>
      <c r="G647" s="17"/>
      <c r="H647" s="17"/>
      <c r="I647" s="40">
        <f>I648</f>
        <v>0</v>
      </c>
      <c r="J647" s="39">
        <f t="shared" si="18"/>
        <v>0</v>
      </c>
      <c r="K647" s="40">
        <f>K648</f>
        <v>0</v>
      </c>
      <c r="L647" s="40">
        <f>L648</f>
        <v>0</v>
      </c>
      <c r="M647" s="47"/>
      <c r="N647" s="9"/>
    </row>
    <row r="648" spans="1:14" ht="16.5" hidden="1" customHeight="1" x14ac:dyDescent="0.2">
      <c r="A648" s="3" t="s">
        <v>666</v>
      </c>
      <c r="B648" s="3" t="s">
        <v>540</v>
      </c>
      <c r="C648" s="3" t="s">
        <v>196</v>
      </c>
      <c r="D648" s="3" t="s">
        <v>544</v>
      </c>
      <c r="E648" s="31" t="s">
        <v>545</v>
      </c>
      <c r="F648" s="18"/>
      <c r="G648" s="17"/>
      <c r="H648" s="17"/>
      <c r="I648" s="40">
        <v>0</v>
      </c>
      <c r="J648" s="39">
        <f t="shared" ref="J648:J711" si="20">K648-I648</f>
        <v>0</v>
      </c>
      <c r="K648" s="40">
        <v>0</v>
      </c>
      <c r="L648" s="40">
        <v>0</v>
      </c>
      <c r="M648" s="47"/>
      <c r="N648" s="9"/>
    </row>
    <row r="649" spans="1:14" ht="24" hidden="1" customHeight="1" x14ac:dyDescent="0.2">
      <c r="A649" s="3" t="s">
        <v>666</v>
      </c>
      <c r="B649" s="3" t="s">
        <v>540</v>
      </c>
      <c r="C649" s="3" t="s">
        <v>197</v>
      </c>
      <c r="D649" s="3"/>
      <c r="E649" s="31" t="s">
        <v>299</v>
      </c>
      <c r="F649" s="18"/>
      <c r="G649" s="17"/>
      <c r="H649" s="17"/>
      <c r="I649" s="40">
        <f>I650</f>
        <v>0</v>
      </c>
      <c r="J649" s="39">
        <f t="shared" si="20"/>
        <v>0</v>
      </c>
      <c r="K649" s="40">
        <f>K650</f>
        <v>0</v>
      </c>
      <c r="L649" s="40">
        <f>L650</f>
        <v>0</v>
      </c>
      <c r="M649" s="47"/>
      <c r="N649" s="9"/>
    </row>
    <row r="650" spans="1:14" ht="18.75" hidden="1" customHeight="1" x14ac:dyDescent="0.2">
      <c r="A650" s="3" t="s">
        <v>666</v>
      </c>
      <c r="B650" s="3" t="s">
        <v>540</v>
      </c>
      <c r="C650" s="3" t="s">
        <v>197</v>
      </c>
      <c r="D650" s="3" t="s">
        <v>544</v>
      </c>
      <c r="E650" s="31" t="s">
        <v>545</v>
      </c>
      <c r="F650" s="18"/>
      <c r="G650" s="17"/>
      <c r="H650" s="17"/>
      <c r="I650" s="40"/>
      <c r="J650" s="39">
        <f t="shared" si="20"/>
        <v>0</v>
      </c>
      <c r="K650" s="40"/>
      <c r="L650" s="40"/>
      <c r="M650" s="47"/>
      <c r="N650" s="9"/>
    </row>
    <row r="651" spans="1:14" ht="38.25" customHeight="1" x14ac:dyDescent="0.2">
      <c r="A651" s="1" t="s">
        <v>5</v>
      </c>
      <c r="B651" s="7"/>
      <c r="C651" s="7"/>
      <c r="D651" s="7"/>
      <c r="E651" s="28" t="s">
        <v>6</v>
      </c>
      <c r="F651" s="14">
        <f>F652+F681+F686+F717+F776</f>
        <v>55617455</v>
      </c>
      <c r="G651" s="12">
        <f>G652+G681+G686+G717+G776</f>
        <v>9235449</v>
      </c>
      <c r="H651" s="12">
        <f>H652+H681+H686+H717+H776</f>
        <v>0</v>
      </c>
      <c r="I651" s="38">
        <f>I652+I681+I686+I717+I776</f>
        <v>46095176</v>
      </c>
      <c r="J651" s="38">
        <f t="shared" si="20"/>
        <v>19259171</v>
      </c>
      <c r="K651" s="38">
        <f>K652+K681+K686+K717+K776</f>
        <v>65354347</v>
      </c>
      <c r="L651" s="38">
        <f>L652+L681+L686+L717+L776</f>
        <v>68438354</v>
      </c>
      <c r="M651" s="10"/>
    </row>
    <row r="652" spans="1:14" ht="17.100000000000001" customHeight="1" x14ac:dyDescent="0.2">
      <c r="A652" s="3" t="s">
        <v>5</v>
      </c>
      <c r="B652" s="3" t="s">
        <v>601</v>
      </c>
      <c r="C652" s="2"/>
      <c r="D652" s="2"/>
      <c r="E652" s="5" t="s">
        <v>602</v>
      </c>
      <c r="F652" s="21">
        <f>F653+F657+F679</f>
        <v>5420000</v>
      </c>
      <c r="G652" s="13">
        <f>G653+G657+G679</f>
        <v>791749</v>
      </c>
      <c r="H652" s="13">
        <f>H653+H657+H679</f>
        <v>0</v>
      </c>
      <c r="I652" s="39">
        <f>I653+I657+I679+I665+I673+I675+I677+I655+I659+I669+I671+I661+I663+I667</f>
        <v>6004239</v>
      </c>
      <c r="J652" s="39">
        <f t="shared" si="20"/>
        <v>595624</v>
      </c>
      <c r="K652" s="39">
        <f>K653+K657+K679+K665+K673+K675+K677+K655+K659+K669+K671+K661+K663+K667</f>
        <v>6599863</v>
      </c>
      <c r="L652" s="39">
        <f>L653+L657+L679+L665+L673+L675+L677+L655+L659+L669+L671+L661+L663+L667</f>
        <v>6615783</v>
      </c>
      <c r="M652" s="10"/>
    </row>
    <row r="653" spans="1:14" ht="17.100000000000001" customHeight="1" x14ac:dyDescent="0.2">
      <c r="A653" s="3" t="s">
        <v>5</v>
      </c>
      <c r="B653" s="3" t="s">
        <v>601</v>
      </c>
      <c r="C653" s="3" t="s">
        <v>7</v>
      </c>
      <c r="D653" s="2"/>
      <c r="E653" s="5" t="s">
        <v>8</v>
      </c>
      <c r="F653" s="21">
        <f>F654</f>
        <v>3406640</v>
      </c>
      <c r="G653" s="13">
        <f>G654</f>
        <v>102749</v>
      </c>
      <c r="H653" s="13">
        <f>H654</f>
        <v>0</v>
      </c>
      <c r="I653" s="39">
        <f>I654</f>
        <v>2872404</v>
      </c>
      <c r="J653" s="39">
        <f t="shared" si="20"/>
        <v>303245</v>
      </c>
      <c r="K653" s="39">
        <f>K654</f>
        <v>3175649</v>
      </c>
      <c r="L653" s="39">
        <f>L654</f>
        <v>3175649</v>
      </c>
      <c r="M653" s="10"/>
    </row>
    <row r="654" spans="1:14" ht="17.100000000000001" customHeight="1" x14ac:dyDescent="0.2">
      <c r="A654" s="3" t="s">
        <v>5</v>
      </c>
      <c r="B654" s="3" t="s">
        <v>601</v>
      </c>
      <c r="C654" s="3" t="s">
        <v>7</v>
      </c>
      <c r="D654" s="3" t="s">
        <v>482</v>
      </c>
      <c r="E654" s="5" t="s">
        <v>483</v>
      </c>
      <c r="F654" s="18">
        <v>3406640</v>
      </c>
      <c r="G654" s="17">
        <f>102749</f>
        <v>102749</v>
      </c>
      <c r="H654" s="17"/>
      <c r="I654" s="40">
        <v>2872404</v>
      </c>
      <c r="J654" s="39">
        <f t="shared" si="20"/>
        <v>303245</v>
      </c>
      <c r="K654" s="40">
        <v>3175649</v>
      </c>
      <c r="L654" s="40">
        <v>3175649</v>
      </c>
      <c r="M654" s="10"/>
    </row>
    <row r="655" spans="1:14" ht="21.75" hidden="1" customHeight="1" x14ac:dyDescent="0.2">
      <c r="A655" s="3" t="s">
        <v>5</v>
      </c>
      <c r="B655" s="3" t="s">
        <v>601</v>
      </c>
      <c r="C655" s="3" t="s">
        <v>168</v>
      </c>
      <c r="D655" s="3"/>
      <c r="E655" s="5" t="s">
        <v>224</v>
      </c>
      <c r="F655" s="18"/>
      <c r="G655" s="17"/>
      <c r="H655" s="17"/>
      <c r="I655" s="40">
        <f>I656</f>
        <v>0</v>
      </c>
      <c r="J655" s="39">
        <f t="shared" si="20"/>
        <v>0</v>
      </c>
      <c r="K655" s="40">
        <f>K656</f>
        <v>0</v>
      </c>
      <c r="L655" s="40">
        <f>L656</f>
        <v>0</v>
      </c>
      <c r="M655" s="10"/>
    </row>
    <row r="656" spans="1:14" ht="17.100000000000001" hidden="1" customHeight="1" x14ac:dyDescent="0.2">
      <c r="A656" s="3" t="s">
        <v>5</v>
      </c>
      <c r="B656" s="3" t="s">
        <v>601</v>
      </c>
      <c r="C656" s="3" t="s">
        <v>168</v>
      </c>
      <c r="D656" s="3" t="s">
        <v>482</v>
      </c>
      <c r="E656" s="5" t="s">
        <v>483</v>
      </c>
      <c r="F656" s="18"/>
      <c r="G656" s="17"/>
      <c r="H656" s="17"/>
      <c r="I656" s="40">
        <v>0</v>
      </c>
      <c r="J656" s="39">
        <f t="shared" si="20"/>
        <v>0</v>
      </c>
      <c r="K656" s="40">
        <v>0</v>
      </c>
      <c r="L656" s="40">
        <v>0</v>
      </c>
      <c r="M656" s="10"/>
    </row>
    <row r="657" spans="1:13" ht="15.75" customHeight="1" x14ac:dyDescent="0.2">
      <c r="A657" s="3" t="s">
        <v>5</v>
      </c>
      <c r="B657" s="3" t="s">
        <v>601</v>
      </c>
      <c r="C657" s="3" t="s">
        <v>9</v>
      </c>
      <c r="D657" s="2"/>
      <c r="E657" s="5" t="s">
        <v>261</v>
      </c>
      <c r="F657" s="18">
        <f>F658</f>
        <v>2013360</v>
      </c>
      <c r="G657" s="19">
        <f>G658</f>
        <v>0</v>
      </c>
      <c r="H657" s="19">
        <f>H658</f>
        <v>0</v>
      </c>
      <c r="I657" s="41">
        <f>I658</f>
        <v>924135</v>
      </c>
      <c r="J657" s="39">
        <f t="shared" si="20"/>
        <v>48850</v>
      </c>
      <c r="K657" s="41">
        <f>K658</f>
        <v>972985</v>
      </c>
      <c r="L657" s="41">
        <f>L658</f>
        <v>972985</v>
      </c>
      <c r="M657" s="10"/>
    </row>
    <row r="658" spans="1:13" ht="17.100000000000001" customHeight="1" x14ac:dyDescent="0.2">
      <c r="A658" s="3" t="s">
        <v>5</v>
      </c>
      <c r="B658" s="3" t="s">
        <v>601</v>
      </c>
      <c r="C658" s="3" t="s">
        <v>9</v>
      </c>
      <c r="D658" s="3" t="s">
        <v>482</v>
      </c>
      <c r="E658" s="5" t="s">
        <v>483</v>
      </c>
      <c r="F658" s="18">
        <v>2013360</v>
      </c>
      <c r="G658" s="17">
        <v>0</v>
      </c>
      <c r="H658" s="17"/>
      <c r="I658" s="40">
        <v>924135</v>
      </c>
      <c r="J658" s="39">
        <f t="shared" si="20"/>
        <v>48850</v>
      </c>
      <c r="K658" s="40">
        <v>972985</v>
      </c>
      <c r="L658" s="40">
        <v>972985</v>
      </c>
      <c r="M658" s="10"/>
    </row>
    <row r="659" spans="1:13" ht="24" hidden="1" customHeight="1" x14ac:dyDescent="0.2">
      <c r="A659" s="3" t="s">
        <v>5</v>
      </c>
      <c r="B659" s="3" t="s">
        <v>601</v>
      </c>
      <c r="C659" s="30" t="s">
        <v>169</v>
      </c>
      <c r="D659" s="3"/>
      <c r="E659" s="5" t="s">
        <v>231</v>
      </c>
      <c r="F659" s="18"/>
      <c r="G659" s="17"/>
      <c r="H659" s="17"/>
      <c r="I659" s="40">
        <f>I660</f>
        <v>0</v>
      </c>
      <c r="J659" s="39">
        <f t="shared" si="20"/>
        <v>0</v>
      </c>
      <c r="K659" s="40">
        <f>K660</f>
        <v>0</v>
      </c>
      <c r="L659" s="40">
        <f>L660</f>
        <v>0</v>
      </c>
      <c r="M659" s="10"/>
    </row>
    <row r="660" spans="1:13" ht="17.100000000000001" hidden="1" customHeight="1" x14ac:dyDescent="0.2">
      <c r="A660" s="3" t="s">
        <v>5</v>
      </c>
      <c r="B660" s="3" t="s">
        <v>601</v>
      </c>
      <c r="C660" s="30" t="s">
        <v>169</v>
      </c>
      <c r="D660" s="3" t="s">
        <v>482</v>
      </c>
      <c r="E660" s="5" t="s">
        <v>483</v>
      </c>
      <c r="F660" s="18"/>
      <c r="G660" s="17"/>
      <c r="H660" s="17"/>
      <c r="I660" s="40">
        <v>0</v>
      </c>
      <c r="J660" s="39">
        <f t="shared" si="20"/>
        <v>0</v>
      </c>
      <c r="K660" s="40">
        <v>0</v>
      </c>
      <c r="L660" s="40">
        <v>0</v>
      </c>
      <c r="M660" s="10"/>
    </row>
    <row r="661" spans="1:13" ht="13.5" hidden="1" customHeight="1" x14ac:dyDescent="0.2">
      <c r="A661" s="3" t="s">
        <v>5</v>
      </c>
      <c r="B661" s="3" t="s">
        <v>601</v>
      </c>
      <c r="C661" s="30" t="s">
        <v>59</v>
      </c>
      <c r="D661" s="3"/>
      <c r="E661" s="31" t="s">
        <v>61</v>
      </c>
      <c r="F661" s="18"/>
      <c r="G661" s="17"/>
      <c r="H661" s="17"/>
      <c r="I661" s="40">
        <f>I662</f>
        <v>0</v>
      </c>
      <c r="J661" s="39">
        <f t="shared" si="20"/>
        <v>0</v>
      </c>
      <c r="K661" s="40">
        <f>K662</f>
        <v>0</v>
      </c>
      <c r="L661" s="40">
        <f>L662</f>
        <v>0</v>
      </c>
      <c r="M661" s="10"/>
    </row>
    <row r="662" spans="1:13" ht="15.75" hidden="1" customHeight="1" x14ac:dyDescent="0.2">
      <c r="A662" s="3" t="s">
        <v>5</v>
      </c>
      <c r="B662" s="3" t="s">
        <v>601</v>
      </c>
      <c r="C662" s="30" t="s">
        <v>59</v>
      </c>
      <c r="D662" s="3" t="s">
        <v>482</v>
      </c>
      <c r="E662" s="31" t="s">
        <v>483</v>
      </c>
      <c r="F662" s="18"/>
      <c r="G662" s="17"/>
      <c r="H662" s="17"/>
      <c r="I662" s="40"/>
      <c r="J662" s="39">
        <f t="shared" si="20"/>
        <v>0</v>
      </c>
      <c r="K662" s="40"/>
      <c r="L662" s="40"/>
      <c r="M662" s="10"/>
    </row>
    <row r="663" spans="1:13" ht="32.25" customHeight="1" x14ac:dyDescent="0.2">
      <c r="A663" s="29" t="s">
        <v>5</v>
      </c>
      <c r="B663" s="30" t="s">
        <v>601</v>
      </c>
      <c r="C663" s="30" t="s">
        <v>137</v>
      </c>
      <c r="D663" s="2"/>
      <c r="E663" s="5" t="s">
        <v>262</v>
      </c>
      <c r="F663" s="18"/>
      <c r="G663" s="17"/>
      <c r="H663" s="17"/>
      <c r="I663" s="40">
        <f>I664</f>
        <v>0</v>
      </c>
      <c r="J663" s="39">
        <f t="shared" si="20"/>
        <v>1050206</v>
      </c>
      <c r="K663" s="40">
        <f>K664</f>
        <v>1050206</v>
      </c>
      <c r="L663" s="40">
        <f>L664</f>
        <v>1050206</v>
      </c>
      <c r="M663" s="10"/>
    </row>
    <row r="664" spans="1:13" ht="15.75" customHeight="1" x14ac:dyDescent="0.2">
      <c r="A664" s="29" t="s">
        <v>5</v>
      </c>
      <c r="B664" s="30" t="s">
        <v>601</v>
      </c>
      <c r="C664" s="30" t="s">
        <v>137</v>
      </c>
      <c r="D664" s="3" t="s">
        <v>482</v>
      </c>
      <c r="E664" s="31" t="s">
        <v>483</v>
      </c>
      <c r="F664" s="18"/>
      <c r="G664" s="17"/>
      <c r="H664" s="17"/>
      <c r="I664" s="40">
        <v>0</v>
      </c>
      <c r="J664" s="39">
        <f t="shared" si="20"/>
        <v>1050206</v>
      </c>
      <c r="K664" s="40">
        <v>1050206</v>
      </c>
      <c r="L664" s="40">
        <v>1050206</v>
      </c>
      <c r="M664" s="10"/>
    </row>
    <row r="665" spans="1:13" ht="31.5" x14ac:dyDescent="0.2">
      <c r="A665" s="29" t="s">
        <v>5</v>
      </c>
      <c r="B665" s="30" t="s">
        <v>601</v>
      </c>
      <c r="C665" s="30" t="s">
        <v>137</v>
      </c>
      <c r="D665" s="2"/>
      <c r="E665" s="5" t="s">
        <v>262</v>
      </c>
      <c r="F665" s="18"/>
      <c r="G665" s="17"/>
      <c r="H665" s="17"/>
      <c r="I665" s="40">
        <f>I666</f>
        <v>1050206</v>
      </c>
      <c r="J665" s="39">
        <f t="shared" si="20"/>
        <v>-1050206</v>
      </c>
      <c r="K665" s="40">
        <f>K666</f>
        <v>0</v>
      </c>
      <c r="L665" s="40">
        <f>L666</f>
        <v>0</v>
      </c>
      <c r="M665" s="10"/>
    </row>
    <row r="666" spans="1:13" ht="17.100000000000001" customHeight="1" x14ac:dyDescent="0.2">
      <c r="A666" s="29" t="s">
        <v>5</v>
      </c>
      <c r="B666" s="30" t="s">
        <v>601</v>
      </c>
      <c r="C666" s="30" t="s">
        <v>137</v>
      </c>
      <c r="D666" s="3" t="s">
        <v>464</v>
      </c>
      <c r="E666" s="31" t="s">
        <v>465</v>
      </c>
      <c r="F666" s="18"/>
      <c r="G666" s="17"/>
      <c r="H666" s="17"/>
      <c r="I666" s="40">
        <v>1050206</v>
      </c>
      <c r="J666" s="39">
        <f t="shared" si="20"/>
        <v>-1050206</v>
      </c>
      <c r="K666" s="40">
        <v>0</v>
      </c>
      <c r="L666" s="40">
        <v>0</v>
      </c>
      <c r="M666" s="10"/>
    </row>
    <row r="667" spans="1:13" ht="33.75" customHeight="1" x14ac:dyDescent="0.2">
      <c r="A667" s="29" t="s">
        <v>5</v>
      </c>
      <c r="B667" s="30" t="s">
        <v>601</v>
      </c>
      <c r="C667" s="30" t="s">
        <v>138</v>
      </c>
      <c r="D667" s="3"/>
      <c r="E667" s="5" t="s">
        <v>265</v>
      </c>
      <c r="F667" s="18"/>
      <c r="G667" s="17"/>
      <c r="H667" s="17"/>
      <c r="I667" s="40">
        <f>I668</f>
        <v>0</v>
      </c>
      <c r="J667" s="39">
        <f t="shared" si="20"/>
        <v>108634</v>
      </c>
      <c r="K667" s="40">
        <f>K668</f>
        <v>108634</v>
      </c>
      <c r="L667" s="40">
        <f>L668</f>
        <v>108634</v>
      </c>
      <c r="M667" s="10"/>
    </row>
    <row r="668" spans="1:13" ht="17.100000000000001" customHeight="1" x14ac:dyDescent="0.2">
      <c r="A668" s="29" t="s">
        <v>5</v>
      </c>
      <c r="B668" s="30" t="s">
        <v>601</v>
      </c>
      <c r="C668" s="30" t="s">
        <v>138</v>
      </c>
      <c r="D668" s="3" t="s">
        <v>482</v>
      </c>
      <c r="E668" s="31" t="s">
        <v>483</v>
      </c>
      <c r="F668" s="18"/>
      <c r="G668" s="17"/>
      <c r="H668" s="17"/>
      <c r="I668" s="40">
        <v>0</v>
      </c>
      <c r="J668" s="39">
        <f t="shared" si="20"/>
        <v>108634</v>
      </c>
      <c r="K668" s="40">
        <v>108634</v>
      </c>
      <c r="L668" s="40">
        <v>108634</v>
      </c>
      <c r="M668" s="10"/>
    </row>
    <row r="669" spans="1:13" ht="34.5" customHeight="1" x14ac:dyDescent="0.2">
      <c r="A669" s="29" t="s">
        <v>5</v>
      </c>
      <c r="B669" s="30" t="s">
        <v>601</v>
      </c>
      <c r="C669" s="30" t="s">
        <v>138</v>
      </c>
      <c r="D669" s="3"/>
      <c r="E669" s="5" t="s">
        <v>265</v>
      </c>
      <c r="F669" s="18"/>
      <c r="G669" s="17"/>
      <c r="H669" s="17"/>
      <c r="I669" s="40">
        <f>I670</f>
        <v>150000</v>
      </c>
      <c r="J669" s="39">
        <f t="shared" si="20"/>
        <v>-150000</v>
      </c>
      <c r="K669" s="40">
        <f>K670</f>
        <v>0</v>
      </c>
      <c r="L669" s="40">
        <f>L670</f>
        <v>0</v>
      </c>
      <c r="M669" s="10"/>
    </row>
    <row r="670" spans="1:13" ht="17.100000000000001" customHeight="1" x14ac:dyDescent="0.2">
      <c r="A670" s="29" t="s">
        <v>5</v>
      </c>
      <c r="B670" s="30" t="s">
        <v>601</v>
      </c>
      <c r="C670" s="30" t="s">
        <v>138</v>
      </c>
      <c r="D670" s="3" t="s">
        <v>464</v>
      </c>
      <c r="E670" s="31" t="s">
        <v>465</v>
      </c>
      <c r="F670" s="18"/>
      <c r="G670" s="17"/>
      <c r="H670" s="17"/>
      <c r="I670" s="40">
        <v>150000</v>
      </c>
      <c r="J670" s="39">
        <f t="shared" si="20"/>
        <v>-150000</v>
      </c>
      <c r="K670" s="40">
        <v>0</v>
      </c>
      <c r="L670" s="40">
        <v>0</v>
      </c>
      <c r="M670" s="10"/>
    </row>
    <row r="671" spans="1:13" ht="36.75" customHeight="1" x14ac:dyDescent="0.2">
      <c r="A671" s="29" t="s">
        <v>5</v>
      </c>
      <c r="B671" s="30" t="s">
        <v>601</v>
      </c>
      <c r="C671" s="30" t="s">
        <v>139</v>
      </c>
      <c r="D671" s="3"/>
      <c r="E671" s="5" t="s">
        <v>263</v>
      </c>
      <c r="F671" s="18"/>
      <c r="G671" s="17"/>
      <c r="H671" s="17"/>
      <c r="I671" s="40">
        <f>I672</f>
        <v>0</v>
      </c>
      <c r="J671" s="39">
        <f t="shared" si="20"/>
        <v>1274674</v>
      </c>
      <c r="K671" s="40">
        <f>K672</f>
        <v>1274674</v>
      </c>
      <c r="L671" s="40">
        <f>L672</f>
        <v>1290594</v>
      </c>
      <c r="M671" s="10"/>
    </row>
    <row r="672" spans="1:13" ht="14.25" customHeight="1" x14ac:dyDescent="0.2">
      <c r="A672" s="29" t="s">
        <v>5</v>
      </c>
      <c r="B672" s="30" t="s">
        <v>601</v>
      </c>
      <c r="C672" s="30" t="s">
        <v>139</v>
      </c>
      <c r="D672" s="3" t="s">
        <v>482</v>
      </c>
      <c r="E672" s="31" t="s">
        <v>483</v>
      </c>
      <c r="F672" s="18"/>
      <c r="G672" s="17"/>
      <c r="H672" s="17"/>
      <c r="I672" s="40">
        <v>0</v>
      </c>
      <c r="J672" s="39">
        <f t="shared" si="20"/>
        <v>1274674</v>
      </c>
      <c r="K672" s="40">
        <v>1274674</v>
      </c>
      <c r="L672" s="40">
        <v>1290594</v>
      </c>
      <c r="M672" s="10"/>
    </row>
    <row r="673" spans="1:13" ht="30.75" customHeight="1" x14ac:dyDescent="0.2">
      <c r="A673" s="29" t="s">
        <v>5</v>
      </c>
      <c r="B673" s="30" t="s">
        <v>601</v>
      </c>
      <c r="C673" s="30" t="s">
        <v>139</v>
      </c>
      <c r="D673" s="3"/>
      <c r="E673" s="5" t="s">
        <v>263</v>
      </c>
      <c r="F673" s="18"/>
      <c r="G673" s="17"/>
      <c r="H673" s="17"/>
      <c r="I673" s="40">
        <f>I674</f>
        <v>996294</v>
      </c>
      <c r="J673" s="39">
        <f t="shared" si="20"/>
        <v>-996294</v>
      </c>
      <c r="K673" s="40">
        <f>K674</f>
        <v>0</v>
      </c>
      <c r="L673" s="40">
        <f>L674</f>
        <v>0</v>
      </c>
      <c r="M673" s="10"/>
    </row>
    <row r="674" spans="1:13" ht="21" customHeight="1" x14ac:dyDescent="0.2">
      <c r="A674" s="29" t="s">
        <v>5</v>
      </c>
      <c r="B674" s="30" t="s">
        <v>601</v>
      </c>
      <c r="C674" s="30" t="s">
        <v>139</v>
      </c>
      <c r="D674" s="3" t="s">
        <v>464</v>
      </c>
      <c r="E674" s="31" t="s">
        <v>465</v>
      </c>
      <c r="F674" s="18"/>
      <c r="G674" s="17"/>
      <c r="H674" s="17"/>
      <c r="I674" s="40">
        <v>996294</v>
      </c>
      <c r="J674" s="39">
        <f t="shared" si="20"/>
        <v>-996294</v>
      </c>
      <c r="K674" s="40">
        <v>0</v>
      </c>
      <c r="L674" s="40">
        <v>0</v>
      </c>
      <c r="M674" s="10"/>
    </row>
    <row r="675" spans="1:13" ht="33" customHeight="1" x14ac:dyDescent="0.2">
      <c r="A675" s="29" t="s">
        <v>5</v>
      </c>
      <c r="B675" s="30" t="s">
        <v>601</v>
      </c>
      <c r="C675" s="30" t="s">
        <v>140</v>
      </c>
      <c r="D675" s="2"/>
      <c r="E675" s="5" t="s">
        <v>264</v>
      </c>
      <c r="F675" s="18"/>
      <c r="G675" s="17"/>
      <c r="H675" s="17"/>
      <c r="I675" s="40">
        <f>I676</f>
        <v>0</v>
      </c>
      <c r="J675" s="39">
        <f t="shared" si="20"/>
        <v>17715</v>
      </c>
      <c r="K675" s="40">
        <f>K676</f>
        <v>17715</v>
      </c>
      <c r="L675" s="40">
        <f>L676</f>
        <v>17715</v>
      </c>
      <c r="M675" s="10"/>
    </row>
    <row r="676" spans="1:13" ht="17.100000000000001" customHeight="1" x14ac:dyDescent="0.2">
      <c r="A676" s="29" t="s">
        <v>5</v>
      </c>
      <c r="B676" s="30" t="s">
        <v>601</v>
      </c>
      <c r="C676" s="30" t="s">
        <v>140</v>
      </c>
      <c r="D676" s="3" t="s">
        <v>482</v>
      </c>
      <c r="E676" s="31" t="s">
        <v>483</v>
      </c>
      <c r="F676" s="18"/>
      <c r="G676" s="17"/>
      <c r="H676" s="17"/>
      <c r="I676" s="40">
        <v>0</v>
      </c>
      <c r="J676" s="39">
        <f t="shared" si="20"/>
        <v>17715</v>
      </c>
      <c r="K676" s="40">
        <v>17715</v>
      </c>
      <c r="L676" s="40">
        <v>17715</v>
      </c>
      <c r="M676" s="10"/>
    </row>
    <row r="677" spans="1:13" ht="31.5" x14ac:dyDescent="0.2">
      <c r="A677" s="29" t="s">
        <v>5</v>
      </c>
      <c r="B677" s="30" t="s">
        <v>601</v>
      </c>
      <c r="C677" s="30" t="s">
        <v>140</v>
      </c>
      <c r="D677" s="2"/>
      <c r="E677" s="5" t="s">
        <v>264</v>
      </c>
      <c r="F677" s="18"/>
      <c r="G677" s="17"/>
      <c r="H677" s="17"/>
      <c r="I677" s="40">
        <f>I678</f>
        <v>11200</v>
      </c>
      <c r="J677" s="39">
        <f t="shared" si="20"/>
        <v>-11200</v>
      </c>
      <c r="K677" s="40">
        <f>K678</f>
        <v>0</v>
      </c>
      <c r="L677" s="40">
        <f>L678</f>
        <v>0</v>
      </c>
      <c r="M677" s="10"/>
    </row>
    <row r="678" spans="1:13" ht="16.5" customHeight="1" x14ac:dyDescent="0.2">
      <c r="A678" s="29" t="s">
        <v>5</v>
      </c>
      <c r="B678" s="30" t="s">
        <v>601</v>
      </c>
      <c r="C678" s="30" t="s">
        <v>140</v>
      </c>
      <c r="D678" s="3" t="s">
        <v>464</v>
      </c>
      <c r="E678" s="31" t="s">
        <v>465</v>
      </c>
      <c r="F678" s="18"/>
      <c r="G678" s="17"/>
      <c r="H678" s="17"/>
      <c r="I678" s="40">
        <v>11200</v>
      </c>
      <c r="J678" s="39">
        <f t="shared" si="20"/>
        <v>-11200</v>
      </c>
      <c r="K678" s="40">
        <v>0</v>
      </c>
      <c r="L678" s="40">
        <v>0</v>
      </c>
      <c r="M678" s="10"/>
    </row>
    <row r="679" spans="1:13" ht="17.100000000000001" hidden="1" customHeight="1" x14ac:dyDescent="0.2">
      <c r="A679" s="3" t="s">
        <v>5</v>
      </c>
      <c r="B679" s="3" t="s">
        <v>601</v>
      </c>
      <c r="C679" s="3" t="s">
        <v>59</v>
      </c>
      <c r="D679" s="2"/>
      <c r="E679" s="11" t="s">
        <v>61</v>
      </c>
      <c r="F679" s="18">
        <f>F680</f>
        <v>0</v>
      </c>
      <c r="G679" s="19">
        <f>G680</f>
        <v>689000</v>
      </c>
      <c r="H679" s="19">
        <f>H680</f>
        <v>0</v>
      </c>
      <c r="I679" s="41">
        <f>I680</f>
        <v>0</v>
      </c>
      <c r="J679" s="39">
        <f t="shared" si="20"/>
        <v>0</v>
      </c>
      <c r="K679" s="41">
        <f>K680</f>
        <v>0</v>
      </c>
      <c r="L679" s="41">
        <f>L680</f>
        <v>0</v>
      </c>
      <c r="M679" s="10"/>
    </row>
    <row r="680" spans="1:13" ht="17.100000000000001" hidden="1" customHeight="1" x14ac:dyDescent="0.2">
      <c r="A680" s="3" t="s">
        <v>5</v>
      </c>
      <c r="B680" s="3" t="s">
        <v>601</v>
      </c>
      <c r="C680" s="3" t="s">
        <v>59</v>
      </c>
      <c r="D680" s="3" t="s">
        <v>482</v>
      </c>
      <c r="E680" s="11" t="s">
        <v>483</v>
      </c>
      <c r="F680" s="18">
        <v>0</v>
      </c>
      <c r="G680" s="17">
        <v>689000</v>
      </c>
      <c r="H680" s="17"/>
      <c r="I680" s="40">
        <v>0</v>
      </c>
      <c r="J680" s="39">
        <f t="shared" si="20"/>
        <v>0</v>
      </c>
      <c r="K680" s="40">
        <v>0</v>
      </c>
      <c r="L680" s="40">
        <v>0</v>
      </c>
      <c r="M680" s="10"/>
    </row>
    <row r="681" spans="1:13" ht="15" customHeight="1" x14ac:dyDescent="0.2">
      <c r="A681" s="3" t="s">
        <v>5</v>
      </c>
      <c r="B681" s="3" t="s">
        <v>10</v>
      </c>
      <c r="C681" s="2"/>
      <c r="D681" s="2"/>
      <c r="E681" s="5" t="s">
        <v>11</v>
      </c>
      <c r="F681" s="21">
        <f>F682+F684</f>
        <v>1524300</v>
      </c>
      <c r="G681" s="13">
        <f>G682+G684</f>
        <v>-53300</v>
      </c>
      <c r="H681" s="13">
        <f>H682+H684</f>
        <v>0</v>
      </c>
      <c r="I681" s="39">
        <f>I682+I684</f>
        <v>1658200</v>
      </c>
      <c r="J681" s="39">
        <f t="shared" si="20"/>
        <v>-20832</v>
      </c>
      <c r="K681" s="39">
        <f>K682+K684</f>
        <v>1637368</v>
      </c>
      <c r="L681" s="39">
        <f>L682+L684</f>
        <v>1649368</v>
      </c>
      <c r="M681" s="10"/>
    </row>
    <row r="682" spans="1:13" ht="25.5" customHeight="1" x14ac:dyDescent="0.2">
      <c r="A682" s="3" t="s">
        <v>5</v>
      </c>
      <c r="B682" s="3" t="s">
        <v>10</v>
      </c>
      <c r="C682" s="3" t="s">
        <v>12</v>
      </c>
      <c r="D682" s="2"/>
      <c r="E682" s="5" t="s">
        <v>13</v>
      </c>
      <c r="F682" s="21">
        <f>F683</f>
        <v>146000</v>
      </c>
      <c r="G682" s="13">
        <f>G683</f>
        <v>64000</v>
      </c>
      <c r="H682" s="13">
        <f>H683</f>
        <v>0</v>
      </c>
      <c r="I682" s="39">
        <f>I683</f>
        <v>328200</v>
      </c>
      <c r="J682" s="39">
        <f t="shared" si="20"/>
        <v>-38832</v>
      </c>
      <c r="K682" s="39">
        <f>K683</f>
        <v>289368</v>
      </c>
      <c r="L682" s="39">
        <f>L683</f>
        <v>301368</v>
      </c>
      <c r="M682" s="10"/>
    </row>
    <row r="683" spans="1:13" ht="17.100000000000001" customHeight="1" x14ac:dyDescent="0.2">
      <c r="A683" s="3" t="s">
        <v>5</v>
      </c>
      <c r="B683" s="3" t="s">
        <v>10</v>
      </c>
      <c r="C683" s="3" t="s">
        <v>12</v>
      </c>
      <c r="D683" s="3" t="s">
        <v>544</v>
      </c>
      <c r="E683" s="5" t="s">
        <v>545</v>
      </c>
      <c r="F683" s="18">
        <v>146000</v>
      </c>
      <c r="G683" s="17">
        <v>64000</v>
      </c>
      <c r="H683" s="17"/>
      <c r="I683" s="40">
        <v>328200</v>
      </c>
      <c r="J683" s="39">
        <f t="shared" si="20"/>
        <v>-38832</v>
      </c>
      <c r="K683" s="40">
        <v>289368</v>
      </c>
      <c r="L683" s="40">
        <v>301368</v>
      </c>
      <c r="M683" s="10"/>
    </row>
    <row r="684" spans="1:13" ht="34.5" customHeight="1" x14ac:dyDescent="0.2">
      <c r="A684" s="3" t="s">
        <v>5</v>
      </c>
      <c r="B684" s="3" t="s">
        <v>10</v>
      </c>
      <c r="C684" s="3" t="s">
        <v>14</v>
      </c>
      <c r="D684" s="2"/>
      <c r="E684" s="5" t="s">
        <v>15</v>
      </c>
      <c r="F684" s="18">
        <f>F685</f>
        <v>1378300</v>
      </c>
      <c r="G684" s="19">
        <f>G685</f>
        <v>-117300</v>
      </c>
      <c r="H684" s="19">
        <f>H685</f>
        <v>0</v>
      </c>
      <c r="I684" s="41">
        <f>I685</f>
        <v>1330000</v>
      </c>
      <c r="J684" s="39">
        <f t="shared" si="20"/>
        <v>18000</v>
      </c>
      <c r="K684" s="41">
        <f>K685</f>
        <v>1348000</v>
      </c>
      <c r="L684" s="41">
        <f>L685</f>
        <v>1348000</v>
      </c>
      <c r="M684" s="10"/>
    </row>
    <row r="685" spans="1:13" ht="17.100000000000001" customHeight="1" x14ac:dyDescent="0.2">
      <c r="A685" s="3" t="s">
        <v>5</v>
      </c>
      <c r="B685" s="3" t="s">
        <v>10</v>
      </c>
      <c r="C685" s="3" t="s">
        <v>14</v>
      </c>
      <c r="D685" s="3" t="s">
        <v>544</v>
      </c>
      <c r="E685" s="5" t="s">
        <v>545</v>
      </c>
      <c r="F685" s="18">
        <v>1378300</v>
      </c>
      <c r="G685" s="17">
        <v>-117300</v>
      </c>
      <c r="H685" s="17"/>
      <c r="I685" s="40">
        <v>1330000</v>
      </c>
      <c r="J685" s="39">
        <f t="shared" si="20"/>
        <v>18000</v>
      </c>
      <c r="K685" s="40">
        <v>1348000</v>
      </c>
      <c r="L685" s="40">
        <v>1348000</v>
      </c>
      <c r="M685" s="10"/>
    </row>
    <row r="686" spans="1:13" ht="17.100000000000001" customHeight="1" x14ac:dyDescent="0.2">
      <c r="A686" s="3" t="s">
        <v>5</v>
      </c>
      <c r="B686" s="3" t="s">
        <v>16</v>
      </c>
      <c r="C686" s="2"/>
      <c r="D686" s="2"/>
      <c r="E686" s="5" t="s">
        <v>17</v>
      </c>
      <c r="F686" s="21">
        <f>F695+F699+F705+F707+F697</f>
        <v>4724200</v>
      </c>
      <c r="G686" s="13">
        <f>G695+G699+G705+G707+G697+G701</f>
        <v>1107000</v>
      </c>
      <c r="H686" s="13">
        <f>H695+H699+H705+H707+H697</f>
        <v>0</v>
      </c>
      <c r="I686" s="39">
        <f>I695+I699+I705+I707+I697+I701+I703+I709+I711+I713+I687+I693+I715+I689+I691</f>
        <v>5625003</v>
      </c>
      <c r="J686" s="39">
        <f t="shared" si="20"/>
        <v>706228</v>
      </c>
      <c r="K686" s="39">
        <f>K695+K699+K705+K707+K697+K701+K703+K709+K711+K713+K687+K693+K715+K689+K691</f>
        <v>6331231</v>
      </c>
      <c r="L686" s="39">
        <f>L695+L699+L705+L707+L697+L701+L703+L709+L711+L713+L687+L693+L715+L689+L691</f>
        <v>6524518</v>
      </c>
      <c r="M686" s="10"/>
    </row>
    <row r="687" spans="1:13" ht="34.5" customHeight="1" x14ac:dyDescent="0.2">
      <c r="A687" s="3" t="s">
        <v>5</v>
      </c>
      <c r="B687" s="3" t="s">
        <v>16</v>
      </c>
      <c r="C687" s="3" t="s">
        <v>287</v>
      </c>
      <c r="D687" s="3"/>
      <c r="E687" s="31" t="s">
        <v>300</v>
      </c>
      <c r="F687" s="21"/>
      <c r="G687" s="13"/>
      <c r="H687" s="13"/>
      <c r="I687" s="39">
        <f>I688</f>
        <v>0</v>
      </c>
      <c r="J687" s="39">
        <f t="shared" si="20"/>
        <v>2344162</v>
      </c>
      <c r="K687" s="39">
        <f>K688</f>
        <v>2344162</v>
      </c>
      <c r="L687" s="39">
        <f>L688</f>
        <v>2437762</v>
      </c>
      <c r="M687" s="10"/>
    </row>
    <row r="688" spans="1:13" ht="17.100000000000001" customHeight="1" x14ac:dyDescent="0.2">
      <c r="A688" s="3" t="s">
        <v>5</v>
      </c>
      <c r="B688" s="3" t="s">
        <v>16</v>
      </c>
      <c r="C688" s="3" t="s">
        <v>287</v>
      </c>
      <c r="D688" s="3" t="s">
        <v>482</v>
      </c>
      <c r="E688" s="31" t="s">
        <v>483</v>
      </c>
      <c r="F688" s="21"/>
      <c r="G688" s="13"/>
      <c r="H688" s="13"/>
      <c r="I688" s="39"/>
      <c r="J688" s="39">
        <f t="shared" si="20"/>
        <v>2344162</v>
      </c>
      <c r="K688" s="39">
        <v>2344162</v>
      </c>
      <c r="L688" s="39">
        <v>2437762</v>
      </c>
      <c r="M688" s="10"/>
    </row>
    <row r="689" spans="1:13" ht="58.5" hidden="1" customHeight="1" x14ac:dyDescent="0.2">
      <c r="A689" s="3" t="s">
        <v>5</v>
      </c>
      <c r="B689" s="3" t="s">
        <v>16</v>
      </c>
      <c r="C689" s="3" t="s">
        <v>364</v>
      </c>
      <c r="D689" s="3"/>
      <c r="E689" s="31" t="s">
        <v>366</v>
      </c>
      <c r="F689" s="21"/>
      <c r="G689" s="13"/>
      <c r="H689" s="13"/>
      <c r="I689" s="39">
        <f>I690</f>
        <v>0</v>
      </c>
      <c r="J689" s="39">
        <f t="shared" si="20"/>
        <v>0</v>
      </c>
      <c r="K689" s="39">
        <f>K690</f>
        <v>0</v>
      </c>
      <c r="L689" s="39">
        <f>L690</f>
        <v>0</v>
      </c>
      <c r="M689" s="10"/>
    </row>
    <row r="690" spans="1:13" ht="17.100000000000001" hidden="1" customHeight="1" x14ac:dyDescent="0.2">
      <c r="A690" s="3" t="s">
        <v>5</v>
      </c>
      <c r="B690" s="3" t="s">
        <v>16</v>
      </c>
      <c r="C690" s="3" t="s">
        <v>364</v>
      </c>
      <c r="D690" s="3" t="s">
        <v>482</v>
      </c>
      <c r="E690" s="31" t="s">
        <v>483</v>
      </c>
      <c r="F690" s="21"/>
      <c r="G690" s="13"/>
      <c r="H690" s="13"/>
      <c r="I690" s="39"/>
      <c r="J690" s="39">
        <f t="shared" si="20"/>
        <v>0</v>
      </c>
      <c r="K690" s="39"/>
      <c r="L690" s="39"/>
      <c r="M690" s="10"/>
    </row>
    <row r="691" spans="1:13" ht="57.75" hidden="1" customHeight="1" x14ac:dyDescent="0.2">
      <c r="A691" s="3" t="s">
        <v>5</v>
      </c>
      <c r="B691" s="3" t="s">
        <v>16</v>
      </c>
      <c r="C691" s="3" t="s">
        <v>365</v>
      </c>
      <c r="D691" s="3"/>
      <c r="E691" s="31" t="s">
        <v>367</v>
      </c>
      <c r="F691" s="21"/>
      <c r="G691" s="13"/>
      <c r="H691" s="13"/>
      <c r="I691" s="39">
        <f>I692</f>
        <v>0</v>
      </c>
      <c r="J691" s="39">
        <f t="shared" si="20"/>
        <v>0</v>
      </c>
      <c r="K691" s="39">
        <f>K692</f>
        <v>0</v>
      </c>
      <c r="L691" s="39">
        <f>L692</f>
        <v>0</v>
      </c>
      <c r="M691" s="10"/>
    </row>
    <row r="692" spans="1:13" ht="17.100000000000001" hidden="1" customHeight="1" x14ac:dyDescent="0.2">
      <c r="A692" s="3" t="s">
        <v>5</v>
      </c>
      <c r="B692" s="3" t="s">
        <v>16</v>
      </c>
      <c r="C692" s="3" t="s">
        <v>365</v>
      </c>
      <c r="D692" s="3" t="s">
        <v>482</v>
      </c>
      <c r="E692" s="31" t="s">
        <v>483</v>
      </c>
      <c r="F692" s="21"/>
      <c r="G692" s="13"/>
      <c r="H692" s="13"/>
      <c r="I692" s="39"/>
      <c r="J692" s="39">
        <f t="shared" si="20"/>
        <v>0</v>
      </c>
      <c r="K692" s="39"/>
      <c r="L692" s="39"/>
      <c r="M692" s="10"/>
    </row>
    <row r="693" spans="1:13" ht="45" customHeight="1" x14ac:dyDescent="0.2">
      <c r="A693" s="3" t="s">
        <v>5</v>
      </c>
      <c r="B693" s="3" t="s">
        <v>16</v>
      </c>
      <c r="C693" s="3" t="s">
        <v>288</v>
      </c>
      <c r="D693" s="3"/>
      <c r="E693" s="31" t="s">
        <v>301</v>
      </c>
      <c r="F693" s="21"/>
      <c r="G693" s="13"/>
      <c r="H693" s="13"/>
      <c r="I693" s="39">
        <f>I694</f>
        <v>0</v>
      </c>
      <c r="J693" s="39">
        <f t="shared" si="20"/>
        <v>3601000</v>
      </c>
      <c r="K693" s="39">
        <f>K694</f>
        <v>3601000</v>
      </c>
      <c r="L693" s="39">
        <f>L694</f>
        <v>3694000</v>
      </c>
      <c r="M693" s="10"/>
    </row>
    <row r="694" spans="1:13" ht="17.100000000000001" customHeight="1" x14ac:dyDescent="0.2">
      <c r="A694" s="3" t="s">
        <v>5</v>
      </c>
      <c r="B694" s="3" t="s">
        <v>16</v>
      </c>
      <c r="C694" s="3" t="s">
        <v>288</v>
      </c>
      <c r="D694" s="3" t="s">
        <v>482</v>
      </c>
      <c r="E694" s="31" t="s">
        <v>483</v>
      </c>
      <c r="F694" s="21"/>
      <c r="G694" s="13"/>
      <c r="H694" s="13"/>
      <c r="I694" s="39"/>
      <c r="J694" s="39">
        <f t="shared" si="20"/>
        <v>3601000</v>
      </c>
      <c r="K694" s="39">
        <v>3601000</v>
      </c>
      <c r="L694" s="39">
        <v>3694000</v>
      </c>
      <c r="M694" s="10"/>
    </row>
    <row r="695" spans="1:13" ht="15.75" customHeight="1" x14ac:dyDescent="0.2">
      <c r="A695" s="3" t="s">
        <v>5</v>
      </c>
      <c r="B695" s="3" t="s">
        <v>16</v>
      </c>
      <c r="C695" s="3" t="s">
        <v>18</v>
      </c>
      <c r="D695" s="2"/>
      <c r="E695" s="5" t="s">
        <v>531</v>
      </c>
      <c r="F695" s="21">
        <f>F696</f>
        <v>4419779</v>
      </c>
      <c r="G695" s="13">
        <f>G696</f>
        <v>-2347900</v>
      </c>
      <c r="H695" s="13">
        <f>H696</f>
        <v>0</v>
      </c>
      <c r="I695" s="39">
        <f>I696</f>
        <v>2296000</v>
      </c>
      <c r="J695" s="39">
        <f t="shared" si="20"/>
        <v>-2296000</v>
      </c>
      <c r="K695" s="39">
        <f>K696</f>
        <v>0</v>
      </c>
      <c r="L695" s="39">
        <f>L696</f>
        <v>0</v>
      </c>
      <c r="M695" s="10"/>
    </row>
    <row r="696" spans="1:13" ht="17.100000000000001" customHeight="1" x14ac:dyDescent="0.2">
      <c r="A696" s="3" t="s">
        <v>5</v>
      </c>
      <c r="B696" s="3" t="s">
        <v>16</v>
      </c>
      <c r="C696" s="3" t="s">
        <v>18</v>
      </c>
      <c r="D696" s="3" t="s">
        <v>482</v>
      </c>
      <c r="E696" s="5" t="s">
        <v>483</v>
      </c>
      <c r="F696" s="18">
        <v>4419779</v>
      </c>
      <c r="G696" s="17">
        <f>-2721900+374000</f>
        <v>-2347900</v>
      </c>
      <c r="H696" s="17"/>
      <c r="I696" s="40">
        <v>2296000</v>
      </c>
      <c r="J696" s="39">
        <f t="shared" si="20"/>
        <v>-2296000</v>
      </c>
      <c r="K696" s="40">
        <v>0</v>
      </c>
      <c r="L696" s="40">
        <v>0</v>
      </c>
      <c r="M696" s="10"/>
    </row>
    <row r="697" spans="1:13" ht="17.25" hidden="1" customHeight="1" x14ac:dyDescent="0.2">
      <c r="A697" s="3" t="s">
        <v>5</v>
      </c>
      <c r="B697" s="3" t="s">
        <v>16</v>
      </c>
      <c r="C697" s="3" t="s">
        <v>64</v>
      </c>
      <c r="D697" s="2"/>
      <c r="E697" s="5" t="s">
        <v>63</v>
      </c>
      <c r="F697" s="18">
        <f>F698</f>
        <v>0</v>
      </c>
      <c r="G697" s="19">
        <f>G698</f>
        <v>3476321</v>
      </c>
      <c r="H697" s="19">
        <f>H698</f>
        <v>0</v>
      </c>
      <c r="I697" s="41">
        <f>I698</f>
        <v>0</v>
      </c>
      <c r="J697" s="39">
        <f t="shared" si="20"/>
        <v>0</v>
      </c>
      <c r="K697" s="41">
        <f>K698</f>
        <v>0</v>
      </c>
      <c r="L697" s="41">
        <f>L698</f>
        <v>0</v>
      </c>
      <c r="M697" s="10"/>
    </row>
    <row r="698" spans="1:13" ht="21" hidden="1" customHeight="1" x14ac:dyDescent="0.2">
      <c r="A698" s="3" t="s">
        <v>5</v>
      </c>
      <c r="B698" s="3" t="s">
        <v>16</v>
      </c>
      <c r="C698" s="3" t="s">
        <v>64</v>
      </c>
      <c r="D698" s="3" t="s">
        <v>482</v>
      </c>
      <c r="E698" s="5" t="s">
        <v>483</v>
      </c>
      <c r="F698" s="18">
        <v>0</v>
      </c>
      <c r="G698" s="17">
        <f>2721900+733000+21421</f>
        <v>3476321</v>
      </c>
      <c r="H698" s="17"/>
      <c r="I698" s="40">
        <v>0</v>
      </c>
      <c r="J698" s="39">
        <f t="shared" si="20"/>
        <v>0</v>
      </c>
      <c r="K698" s="40">
        <v>0</v>
      </c>
      <c r="L698" s="40">
        <v>0</v>
      </c>
      <c r="M698" s="10"/>
    </row>
    <row r="699" spans="1:13" ht="27" customHeight="1" x14ac:dyDescent="0.2">
      <c r="A699" s="3" t="s">
        <v>5</v>
      </c>
      <c r="B699" s="3" t="s">
        <v>16</v>
      </c>
      <c r="C699" s="3" t="s">
        <v>19</v>
      </c>
      <c r="D699" s="2"/>
      <c r="E699" s="5" t="s">
        <v>20</v>
      </c>
      <c r="F699" s="18">
        <f>F700</f>
        <v>223000</v>
      </c>
      <c r="G699" s="19">
        <f>G700</f>
        <v>-167000</v>
      </c>
      <c r="H699" s="19">
        <f>H700</f>
        <v>0</v>
      </c>
      <c r="I699" s="41">
        <f>I700</f>
        <v>83502</v>
      </c>
      <c r="J699" s="39">
        <f t="shared" si="20"/>
        <v>14274</v>
      </c>
      <c r="K699" s="41">
        <f>K700</f>
        <v>97776</v>
      </c>
      <c r="L699" s="41">
        <f>L700</f>
        <v>97776</v>
      </c>
      <c r="M699" s="10"/>
    </row>
    <row r="700" spans="1:13" ht="17.100000000000001" customHeight="1" x14ac:dyDescent="0.2">
      <c r="A700" s="3" t="s">
        <v>5</v>
      </c>
      <c r="B700" s="3" t="s">
        <v>16</v>
      </c>
      <c r="C700" s="3" t="s">
        <v>19</v>
      </c>
      <c r="D700" s="3" t="s">
        <v>482</v>
      </c>
      <c r="E700" s="5" t="s">
        <v>483</v>
      </c>
      <c r="F700" s="18">
        <v>223000</v>
      </c>
      <c r="G700" s="17">
        <v>-167000</v>
      </c>
      <c r="H700" s="17">
        <v>0</v>
      </c>
      <c r="I700" s="40">
        <v>83502</v>
      </c>
      <c r="J700" s="39">
        <f t="shared" si="20"/>
        <v>14274</v>
      </c>
      <c r="K700" s="40">
        <v>97776</v>
      </c>
      <c r="L700" s="40">
        <v>97776</v>
      </c>
      <c r="M700" s="10"/>
    </row>
    <row r="701" spans="1:13" ht="23.25" customHeight="1" x14ac:dyDescent="0.2">
      <c r="A701" s="3" t="s">
        <v>5</v>
      </c>
      <c r="B701" s="3" t="s">
        <v>16</v>
      </c>
      <c r="C701" s="3" t="s">
        <v>76</v>
      </c>
      <c r="D701" s="2"/>
      <c r="E701" s="5" t="s">
        <v>77</v>
      </c>
      <c r="F701" s="18">
        <f>F702</f>
        <v>0</v>
      </c>
      <c r="G701" s="19">
        <f>G702</f>
        <v>167000</v>
      </c>
      <c r="H701" s="19">
        <f>H702</f>
        <v>0</v>
      </c>
      <c r="I701" s="41">
        <f>I702</f>
        <v>167000</v>
      </c>
      <c r="J701" s="39">
        <f t="shared" si="20"/>
        <v>0</v>
      </c>
      <c r="K701" s="41">
        <f>K702</f>
        <v>167000</v>
      </c>
      <c r="L701" s="41">
        <f>L702</f>
        <v>167000</v>
      </c>
      <c r="M701" s="10"/>
    </row>
    <row r="702" spans="1:13" ht="17.100000000000001" customHeight="1" x14ac:dyDescent="0.2">
      <c r="A702" s="3" t="s">
        <v>5</v>
      </c>
      <c r="B702" s="3" t="s">
        <v>16</v>
      </c>
      <c r="C702" s="3" t="s">
        <v>76</v>
      </c>
      <c r="D702" s="3" t="s">
        <v>482</v>
      </c>
      <c r="E702" s="5" t="s">
        <v>483</v>
      </c>
      <c r="F702" s="18"/>
      <c r="G702" s="17">
        <v>167000</v>
      </c>
      <c r="H702" s="17"/>
      <c r="I702" s="40">
        <v>167000</v>
      </c>
      <c r="J702" s="39">
        <f t="shared" si="20"/>
        <v>0</v>
      </c>
      <c r="K702" s="40">
        <v>167000</v>
      </c>
      <c r="L702" s="40">
        <v>167000</v>
      </c>
      <c r="M702" s="10"/>
    </row>
    <row r="703" spans="1:13" ht="30" customHeight="1" x14ac:dyDescent="0.2">
      <c r="A703" s="29" t="s">
        <v>5</v>
      </c>
      <c r="B703" s="30" t="s">
        <v>16</v>
      </c>
      <c r="C703" s="30" t="s">
        <v>141</v>
      </c>
      <c r="D703" s="2"/>
      <c r="E703" s="5" t="s">
        <v>266</v>
      </c>
      <c r="F703" s="18"/>
      <c r="G703" s="17"/>
      <c r="H703" s="17"/>
      <c r="I703" s="40">
        <f>I704</f>
        <v>2964000</v>
      </c>
      <c r="J703" s="39">
        <f t="shared" si="20"/>
        <v>-2964000</v>
      </c>
      <c r="K703" s="40">
        <f>K704</f>
        <v>0</v>
      </c>
      <c r="L703" s="40">
        <f>L704</f>
        <v>0</v>
      </c>
      <c r="M703" s="10"/>
    </row>
    <row r="704" spans="1:13" ht="17.100000000000001" customHeight="1" x14ac:dyDescent="0.2">
      <c r="A704" s="29" t="s">
        <v>5</v>
      </c>
      <c r="B704" s="30" t="s">
        <v>16</v>
      </c>
      <c r="C704" s="30" t="s">
        <v>141</v>
      </c>
      <c r="D704" s="3" t="s">
        <v>482</v>
      </c>
      <c r="E704" s="31" t="s">
        <v>483</v>
      </c>
      <c r="F704" s="18"/>
      <c r="G704" s="17"/>
      <c r="H704" s="17"/>
      <c r="I704" s="40">
        <v>2964000</v>
      </c>
      <c r="J704" s="39">
        <f t="shared" si="20"/>
        <v>-2964000</v>
      </c>
      <c r="K704" s="40">
        <v>0</v>
      </c>
      <c r="L704" s="40">
        <v>0</v>
      </c>
      <c r="M704" s="10"/>
    </row>
    <row r="705" spans="1:13" ht="24.75" customHeight="1" x14ac:dyDescent="0.2">
      <c r="A705" s="3" t="s">
        <v>5</v>
      </c>
      <c r="B705" s="3" t="s">
        <v>16</v>
      </c>
      <c r="C705" s="3" t="s">
        <v>21</v>
      </c>
      <c r="D705" s="2"/>
      <c r="E705" s="5" t="s">
        <v>22</v>
      </c>
      <c r="F705" s="16">
        <f>F706</f>
        <v>60000</v>
      </c>
      <c r="G705" s="19">
        <f>G706</f>
        <v>0</v>
      </c>
      <c r="H705" s="19">
        <f>H706</f>
        <v>0</v>
      </c>
      <c r="I705" s="41">
        <f>I706</f>
        <v>114501</v>
      </c>
      <c r="J705" s="39">
        <f t="shared" si="20"/>
        <v>-114501</v>
      </c>
      <c r="K705" s="41">
        <f>K706</f>
        <v>0</v>
      </c>
      <c r="L705" s="41">
        <f>L706</f>
        <v>0</v>
      </c>
      <c r="M705" s="10"/>
    </row>
    <row r="706" spans="1:13" ht="17.100000000000001" customHeight="1" x14ac:dyDescent="0.2">
      <c r="A706" s="3" t="s">
        <v>5</v>
      </c>
      <c r="B706" s="3" t="s">
        <v>16</v>
      </c>
      <c r="C706" s="3" t="s">
        <v>21</v>
      </c>
      <c r="D706" s="3" t="s">
        <v>482</v>
      </c>
      <c r="E706" s="5" t="s">
        <v>483</v>
      </c>
      <c r="F706" s="16">
        <v>60000</v>
      </c>
      <c r="G706" s="17">
        <v>0</v>
      </c>
      <c r="H706" s="17">
        <v>0</v>
      </c>
      <c r="I706" s="40">
        <v>114501</v>
      </c>
      <c r="J706" s="39">
        <f t="shared" si="20"/>
        <v>-114501</v>
      </c>
      <c r="K706" s="40">
        <v>0</v>
      </c>
      <c r="L706" s="40">
        <v>0</v>
      </c>
      <c r="M706" s="10"/>
    </row>
    <row r="707" spans="1:13" ht="21" hidden="1" x14ac:dyDescent="0.2">
      <c r="A707" s="3" t="s">
        <v>5</v>
      </c>
      <c r="B707" s="3" t="s">
        <v>16</v>
      </c>
      <c r="C707" s="3" t="s">
        <v>23</v>
      </c>
      <c r="D707" s="2"/>
      <c r="E707" s="5" t="s">
        <v>554</v>
      </c>
      <c r="F707" s="18">
        <f>F708</f>
        <v>21421</v>
      </c>
      <c r="G707" s="19">
        <f>G708</f>
        <v>-21421</v>
      </c>
      <c r="H707" s="19">
        <f>H708</f>
        <v>0</v>
      </c>
      <c r="I707" s="41">
        <f>I708</f>
        <v>0</v>
      </c>
      <c r="J707" s="39">
        <f t="shared" si="20"/>
        <v>0</v>
      </c>
      <c r="K707" s="41">
        <f>K708</f>
        <v>0</v>
      </c>
      <c r="L707" s="41">
        <f>L708</f>
        <v>0</v>
      </c>
      <c r="M707" s="10"/>
    </row>
    <row r="708" spans="1:13" hidden="1" x14ac:dyDescent="0.2">
      <c r="A708" s="3" t="s">
        <v>5</v>
      </c>
      <c r="B708" s="3" t="s">
        <v>16</v>
      </c>
      <c r="C708" s="3" t="s">
        <v>23</v>
      </c>
      <c r="D708" s="3" t="s">
        <v>482</v>
      </c>
      <c r="E708" s="5" t="s">
        <v>483</v>
      </c>
      <c r="F708" s="18">
        <v>21421</v>
      </c>
      <c r="G708" s="17">
        <f>-21421</f>
        <v>-21421</v>
      </c>
      <c r="H708" s="17"/>
      <c r="I708" s="40">
        <v>0</v>
      </c>
      <c r="J708" s="39">
        <f t="shared" si="20"/>
        <v>0</v>
      </c>
      <c r="K708" s="40">
        <v>0</v>
      </c>
      <c r="L708" s="40">
        <v>0</v>
      </c>
      <c r="M708" s="10"/>
    </row>
    <row r="709" spans="1:13" hidden="1" x14ac:dyDescent="0.2">
      <c r="A709" s="3" t="s">
        <v>5</v>
      </c>
      <c r="B709" s="3" t="s">
        <v>16</v>
      </c>
      <c r="C709" s="3" t="s">
        <v>189</v>
      </c>
      <c r="D709" s="3"/>
      <c r="E709" s="5" t="s">
        <v>86</v>
      </c>
      <c r="F709" s="18"/>
      <c r="G709" s="17"/>
      <c r="H709" s="17"/>
      <c r="I709" s="40">
        <f>I710</f>
        <v>0</v>
      </c>
      <c r="J709" s="39">
        <f t="shared" si="20"/>
        <v>0</v>
      </c>
      <c r="K709" s="40">
        <f>K710</f>
        <v>0</v>
      </c>
      <c r="L709" s="40">
        <f>L710</f>
        <v>0</v>
      </c>
      <c r="M709" s="10"/>
    </row>
    <row r="710" spans="1:13" hidden="1" x14ac:dyDescent="0.2">
      <c r="A710" s="3" t="s">
        <v>5</v>
      </c>
      <c r="B710" s="3" t="s">
        <v>16</v>
      </c>
      <c r="C710" s="3" t="s">
        <v>189</v>
      </c>
      <c r="D710" s="3" t="s">
        <v>482</v>
      </c>
      <c r="E710" s="5" t="s">
        <v>483</v>
      </c>
      <c r="F710" s="18"/>
      <c r="G710" s="17"/>
      <c r="H710" s="17"/>
      <c r="I710" s="40"/>
      <c r="J710" s="39">
        <f t="shared" si="20"/>
        <v>0</v>
      </c>
      <c r="K710" s="40"/>
      <c r="L710" s="40"/>
      <c r="M710" s="10"/>
    </row>
    <row r="711" spans="1:13" ht="21" hidden="1" x14ac:dyDescent="0.2">
      <c r="A711" s="3" t="s">
        <v>5</v>
      </c>
      <c r="B711" s="3" t="s">
        <v>16</v>
      </c>
      <c r="C711" s="3" t="s">
        <v>190</v>
      </c>
      <c r="D711" s="3"/>
      <c r="E711" s="5" t="s">
        <v>194</v>
      </c>
      <c r="F711" s="18"/>
      <c r="G711" s="17"/>
      <c r="H711" s="17"/>
      <c r="I711" s="40">
        <f>I712</f>
        <v>0</v>
      </c>
      <c r="J711" s="39">
        <f t="shared" si="20"/>
        <v>0</v>
      </c>
      <c r="K711" s="40">
        <f>K712</f>
        <v>0</v>
      </c>
      <c r="L711" s="40">
        <f>L712</f>
        <v>0</v>
      </c>
      <c r="M711" s="10"/>
    </row>
    <row r="712" spans="1:13" hidden="1" x14ac:dyDescent="0.2">
      <c r="A712" s="3" t="s">
        <v>5</v>
      </c>
      <c r="B712" s="3" t="s">
        <v>16</v>
      </c>
      <c r="C712" s="3" t="s">
        <v>190</v>
      </c>
      <c r="D712" s="3" t="s">
        <v>192</v>
      </c>
      <c r="E712" s="5" t="s">
        <v>193</v>
      </c>
      <c r="F712" s="18"/>
      <c r="G712" s="17"/>
      <c r="H712" s="17"/>
      <c r="I712" s="40"/>
      <c r="J712" s="39">
        <f t="shared" ref="J712:J775" si="21">K712-I712</f>
        <v>0</v>
      </c>
      <c r="K712" s="40"/>
      <c r="L712" s="40"/>
      <c r="M712" s="10"/>
    </row>
    <row r="713" spans="1:13" ht="21" x14ac:dyDescent="0.2">
      <c r="A713" s="3" t="s">
        <v>5</v>
      </c>
      <c r="B713" s="3" t="s">
        <v>16</v>
      </c>
      <c r="C713" s="3" t="s">
        <v>191</v>
      </c>
      <c r="D713" s="3"/>
      <c r="E713" s="5" t="s">
        <v>22</v>
      </c>
      <c r="F713" s="18"/>
      <c r="G713" s="17"/>
      <c r="H713" s="17"/>
      <c r="I713" s="40">
        <f>I714</f>
        <v>0</v>
      </c>
      <c r="J713" s="39">
        <f t="shared" si="21"/>
        <v>121293</v>
      </c>
      <c r="K713" s="40">
        <f>K714</f>
        <v>121293</v>
      </c>
      <c r="L713" s="40">
        <f>L714</f>
        <v>127980</v>
      </c>
      <c r="M713" s="10"/>
    </row>
    <row r="714" spans="1:13" x14ac:dyDescent="0.2">
      <c r="A714" s="3" t="s">
        <v>5</v>
      </c>
      <c r="B714" s="3" t="s">
        <v>16</v>
      </c>
      <c r="C714" s="3" t="s">
        <v>191</v>
      </c>
      <c r="D714" s="3" t="s">
        <v>192</v>
      </c>
      <c r="E714" s="5" t="s">
        <v>193</v>
      </c>
      <c r="F714" s="18"/>
      <c r="G714" s="17"/>
      <c r="H714" s="17"/>
      <c r="I714" s="40"/>
      <c r="J714" s="39">
        <f t="shared" si="21"/>
        <v>121293</v>
      </c>
      <c r="K714" s="40">
        <v>121293</v>
      </c>
      <c r="L714" s="40">
        <v>127980</v>
      </c>
      <c r="M714" s="10"/>
    </row>
    <row r="715" spans="1:13" ht="31.5" hidden="1" x14ac:dyDescent="0.2">
      <c r="A715" s="3" t="s">
        <v>5</v>
      </c>
      <c r="B715" s="3" t="s">
        <v>16</v>
      </c>
      <c r="C715" s="3" t="s">
        <v>281</v>
      </c>
      <c r="D715" s="3"/>
      <c r="E715" s="31" t="s">
        <v>294</v>
      </c>
      <c r="F715" s="18"/>
      <c r="G715" s="17"/>
      <c r="H715" s="17"/>
      <c r="I715" s="40">
        <f>I716</f>
        <v>0</v>
      </c>
      <c r="J715" s="39">
        <f t="shared" si="21"/>
        <v>0</v>
      </c>
      <c r="K715" s="40">
        <f>K716</f>
        <v>0</v>
      </c>
      <c r="L715" s="40">
        <f>L716</f>
        <v>0</v>
      </c>
      <c r="M715" s="10"/>
    </row>
    <row r="716" spans="1:13" hidden="1" x14ac:dyDescent="0.2">
      <c r="A716" s="3" t="s">
        <v>5</v>
      </c>
      <c r="B716" s="3" t="s">
        <v>16</v>
      </c>
      <c r="C716" s="3" t="s">
        <v>281</v>
      </c>
      <c r="D716" s="3" t="s">
        <v>482</v>
      </c>
      <c r="E716" s="31" t="s">
        <v>483</v>
      </c>
      <c r="F716" s="18"/>
      <c r="G716" s="17"/>
      <c r="H716" s="17"/>
      <c r="I716" s="40"/>
      <c r="J716" s="39">
        <f t="shared" si="21"/>
        <v>0</v>
      </c>
      <c r="K716" s="40"/>
      <c r="L716" s="40"/>
      <c r="M716" s="10"/>
    </row>
    <row r="717" spans="1:13" ht="17.100000000000001" customHeight="1" x14ac:dyDescent="0.2">
      <c r="A717" s="3" t="s">
        <v>5</v>
      </c>
      <c r="B717" s="3" t="s">
        <v>540</v>
      </c>
      <c r="C717" s="2"/>
      <c r="D717" s="2"/>
      <c r="E717" s="5" t="s">
        <v>541</v>
      </c>
      <c r="F717" s="21">
        <f>F718+F720+F722+F724+F726+F728+F730+F740+F742+F744+F746+F748+F766+F768+F770+F772+F764</f>
        <v>42198800</v>
      </c>
      <c r="G717" s="13">
        <f>G718+G720+G722+G724+G726+G728+G730+G740+G742+G744+G746+G748+G766+G768+G770+G772+G764</f>
        <v>6888200</v>
      </c>
      <c r="H717" s="13">
        <f>H718+H720+H722+H724+H726+H728+H730+H740+H742+H744+H746+H748+H766+H768+H770+H772+H764</f>
        <v>0</v>
      </c>
      <c r="I717" s="39">
        <f>I718+I720+I722+I724+I726+I728+I730+I740+I742+I744+I746+I748+I766+I768+I770+I772+I764+I750+I754+I758+I762+I732++I734+I736+I738+I752+I756+I760+I774</f>
        <v>30300030</v>
      </c>
      <c r="J717" s="39">
        <f t="shared" si="21"/>
        <v>17976973</v>
      </c>
      <c r="K717" s="39">
        <f>K718+K720+K722+K724+K726+K728+K730+K740+K742+K744+K746+K748+K766+K768+K770+K772+K764+K750+K754+K758+K762+K732++K734+K736+K738+K752+K756+K760+K774</f>
        <v>48277003</v>
      </c>
      <c r="L717" s="39">
        <f>L718+L720+L722+L724+L726+L728+L730+L740+L742+L744+L746+L748+L766+L768+L770+L772+L764+L750+L754+L758+L762+L732++L734+L736+L738+L752+L756+L760+L774</f>
        <v>51139803</v>
      </c>
      <c r="M717" s="10"/>
    </row>
    <row r="718" spans="1:13" ht="30" customHeight="1" x14ac:dyDescent="0.2">
      <c r="A718" s="3" t="s">
        <v>5</v>
      </c>
      <c r="B718" s="3" t="s">
        <v>540</v>
      </c>
      <c r="C718" s="3" t="s">
        <v>24</v>
      </c>
      <c r="D718" s="2"/>
      <c r="E718" s="5" t="s">
        <v>25</v>
      </c>
      <c r="F718" s="21">
        <f>F719</f>
        <v>239400</v>
      </c>
      <c r="G718" s="13">
        <f>G719</f>
        <v>12400</v>
      </c>
      <c r="H718" s="13">
        <f>H719</f>
        <v>0</v>
      </c>
      <c r="I718" s="39">
        <f>I719</f>
        <v>0</v>
      </c>
      <c r="J718" s="39">
        <f t="shared" si="21"/>
        <v>316000</v>
      </c>
      <c r="K718" s="39">
        <f>K719</f>
        <v>316000</v>
      </c>
      <c r="L718" s="39">
        <f>L719</f>
        <v>316000</v>
      </c>
      <c r="M718" s="10"/>
    </row>
    <row r="719" spans="1:13" ht="17.100000000000001" customHeight="1" x14ac:dyDescent="0.2">
      <c r="A719" s="3" t="s">
        <v>5</v>
      </c>
      <c r="B719" s="3" t="s">
        <v>540</v>
      </c>
      <c r="C719" s="3" t="s">
        <v>24</v>
      </c>
      <c r="D719" s="3" t="s">
        <v>544</v>
      </c>
      <c r="E719" s="5" t="s">
        <v>545</v>
      </c>
      <c r="F719" s="18">
        <v>239400</v>
      </c>
      <c r="G719" s="17">
        <v>12400</v>
      </c>
      <c r="H719" s="17"/>
      <c r="I719" s="40">
        <v>0</v>
      </c>
      <c r="J719" s="39">
        <f t="shared" si="21"/>
        <v>316000</v>
      </c>
      <c r="K719" s="40">
        <v>316000</v>
      </c>
      <c r="L719" s="40">
        <v>316000</v>
      </c>
      <c r="M719" s="10"/>
    </row>
    <row r="720" spans="1:13" ht="17.100000000000001" hidden="1" customHeight="1" x14ac:dyDescent="0.2">
      <c r="A720" s="3" t="s">
        <v>5</v>
      </c>
      <c r="B720" s="3" t="s">
        <v>540</v>
      </c>
      <c r="C720" s="3" t="s">
        <v>26</v>
      </c>
      <c r="D720" s="2"/>
      <c r="E720" s="5" t="s">
        <v>27</v>
      </c>
      <c r="F720" s="18">
        <f>F721</f>
        <v>2790600</v>
      </c>
      <c r="G720" s="19">
        <f>G721</f>
        <v>86300</v>
      </c>
      <c r="H720" s="19">
        <f>H721</f>
        <v>0</v>
      </c>
      <c r="I720" s="41">
        <f>I721</f>
        <v>0</v>
      </c>
      <c r="J720" s="39">
        <f t="shared" si="21"/>
        <v>0</v>
      </c>
      <c r="K720" s="41">
        <f>K721</f>
        <v>0</v>
      </c>
      <c r="L720" s="41">
        <f>L721</f>
        <v>0</v>
      </c>
      <c r="M720" s="10"/>
    </row>
    <row r="721" spans="1:15" ht="17.100000000000001" hidden="1" customHeight="1" x14ac:dyDescent="0.2">
      <c r="A721" s="3" t="s">
        <v>5</v>
      </c>
      <c r="B721" s="3" t="s">
        <v>540</v>
      </c>
      <c r="C721" s="3" t="s">
        <v>26</v>
      </c>
      <c r="D721" s="3" t="s">
        <v>544</v>
      </c>
      <c r="E721" s="5" t="s">
        <v>545</v>
      </c>
      <c r="F721" s="18">
        <v>2790600</v>
      </c>
      <c r="G721" s="17">
        <v>86300</v>
      </c>
      <c r="H721" s="17"/>
      <c r="I721" s="40">
        <v>0</v>
      </c>
      <c r="J721" s="39">
        <f t="shared" si="21"/>
        <v>0</v>
      </c>
      <c r="K721" s="40">
        <v>0</v>
      </c>
      <c r="L721" s="40">
        <v>0</v>
      </c>
      <c r="M721" s="10"/>
    </row>
    <row r="722" spans="1:15" ht="17.100000000000001" hidden="1" customHeight="1" x14ac:dyDescent="0.2">
      <c r="A722" s="3" t="s">
        <v>5</v>
      </c>
      <c r="B722" s="3" t="s">
        <v>540</v>
      </c>
      <c r="C722" s="3" t="s">
        <v>28</v>
      </c>
      <c r="D722" s="2"/>
      <c r="E722" s="5" t="s">
        <v>27</v>
      </c>
      <c r="F722" s="18">
        <f>F723</f>
        <v>4898000</v>
      </c>
      <c r="G722" s="19">
        <f>G723</f>
        <v>86300</v>
      </c>
      <c r="H722" s="19">
        <f>H723</f>
        <v>0</v>
      </c>
      <c r="I722" s="41">
        <f>I723</f>
        <v>0</v>
      </c>
      <c r="J722" s="39">
        <f t="shared" si="21"/>
        <v>0</v>
      </c>
      <c r="K722" s="41">
        <f>K723</f>
        <v>0</v>
      </c>
      <c r="L722" s="41">
        <f>L723</f>
        <v>0</v>
      </c>
      <c r="M722" s="10"/>
    </row>
    <row r="723" spans="1:15" ht="17.100000000000001" hidden="1" customHeight="1" x14ac:dyDescent="0.2">
      <c r="A723" s="3" t="s">
        <v>5</v>
      </c>
      <c r="B723" s="3" t="s">
        <v>540</v>
      </c>
      <c r="C723" s="3" t="s">
        <v>28</v>
      </c>
      <c r="D723" s="3" t="s">
        <v>544</v>
      </c>
      <c r="E723" s="5" t="s">
        <v>545</v>
      </c>
      <c r="F723" s="18">
        <v>4898000</v>
      </c>
      <c r="G723" s="17">
        <v>86300</v>
      </c>
      <c r="H723" s="17"/>
      <c r="I723" s="40">
        <v>0</v>
      </c>
      <c r="J723" s="39">
        <f t="shared" si="21"/>
        <v>0</v>
      </c>
      <c r="K723" s="40">
        <v>0</v>
      </c>
      <c r="L723" s="40">
        <v>0</v>
      </c>
      <c r="M723" s="47"/>
      <c r="N723" s="9"/>
      <c r="O723" s="9"/>
    </row>
    <row r="724" spans="1:15" ht="21.75" hidden="1" customHeight="1" x14ac:dyDescent="0.2">
      <c r="A724" s="3" t="s">
        <v>5</v>
      </c>
      <c r="B724" s="3" t="s">
        <v>540</v>
      </c>
      <c r="C724" s="3" t="s">
        <v>29</v>
      </c>
      <c r="D724" s="2"/>
      <c r="E724" s="5" t="s">
        <v>149</v>
      </c>
      <c r="F724" s="18">
        <f>F725</f>
        <v>924700</v>
      </c>
      <c r="G724" s="19">
        <f>G725</f>
        <v>0</v>
      </c>
      <c r="H724" s="19">
        <f>H725</f>
        <v>0</v>
      </c>
      <c r="I724" s="41">
        <f>I725</f>
        <v>0</v>
      </c>
      <c r="J724" s="39">
        <f t="shared" si="21"/>
        <v>0</v>
      </c>
      <c r="K724" s="41">
        <f>K725</f>
        <v>0</v>
      </c>
      <c r="L724" s="41">
        <f>L725</f>
        <v>0</v>
      </c>
      <c r="M724" s="10"/>
    </row>
    <row r="725" spans="1:15" ht="17.100000000000001" hidden="1" customHeight="1" x14ac:dyDescent="0.2">
      <c r="A725" s="3" t="s">
        <v>5</v>
      </c>
      <c r="B725" s="3" t="s">
        <v>540</v>
      </c>
      <c r="C725" s="3" t="s">
        <v>29</v>
      </c>
      <c r="D725" s="3" t="s">
        <v>544</v>
      </c>
      <c r="E725" s="5" t="s">
        <v>545</v>
      </c>
      <c r="F725" s="18">
        <v>924700</v>
      </c>
      <c r="G725" s="17">
        <v>0</v>
      </c>
      <c r="H725" s="17">
        <v>0</v>
      </c>
      <c r="I725" s="40">
        <v>0</v>
      </c>
      <c r="J725" s="39">
        <f t="shared" si="21"/>
        <v>0</v>
      </c>
      <c r="K725" s="40">
        <v>0</v>
      </c>
      <c r="L725" s="40">
        <v>0</v>
      </c>
      <c r="M725" s="10"/>
    </row>
    <row r="726" spans="1:15" ht="17.100000000000001" hidden="1" customHeight="1" x14ac:dyDescent="0.2">
      <c r="A726" s="3" t="s">
        <v>5</v>
      </c>
      <c r="B726" s="3" t="s">
        <v>540</v>
      </c>
      <c r="C726" s="3" t="s">
        <v>30</v>
      </c>
      <c r="D726" s="2"/>
      <c r="E726" s="5" t="s">
        <v>150</v>
      </c>
      <c r="F726" s="18">
        <f>F727</f>
        <v>2179500</v>
      </c>
      <c r="G726" s="19">
        <f>G727</f>
        <v>1941800</v>
      </c>
      <c r="H726" s="19">
        <f>H727</f>
        <v>0</v>
      </c>
      <c r="I726" s="41">
        <f>I727</f>
        <v>0</v>
      </c>
      <c r="J726" s="39">
        <f t="shared" si="21"/>
        <v>0</v>
      </c>
      <c r="K726" s="41">
        <f>K727</f>
        <v>0</v>
      </c>
      <c r="L726" s="41">
        <f>L727</f>
        <v>0</v>
      </c>
      <c r="M726" s="10"/>
    </row>
    <row r="727" spans="1:15" ht="17.100000000000001" hidden="1" customHeight="1" x14ac:dyDescent="0.2">
      <c r="A727" s="3" t="s">
        <v>5</v>
      </c>
      <c r="B727" s="3" t="s">
        <v>540</v>
      </c>
      <c r="C727" s="3" t="s">
        <v>30</v>
      </c>
      <c r="D727" s="3" t="s">
        <v>544</v>
      </c>
      <c r="E727" s="5" t="s">
        <v>545</v>
      </c>
      <c r="F727" s="18">
        <v>2179500</v>
      </c>
      <c r="G727" s="17">
        <v>1941800</v>
      </c>
      <c r="H727" s="17"/>
      <c r="I727" s="40">
        <v>0</v>
      </c>
      <c r="J727" s="39">
        <f t="shared" si="21"/>
        <v>0</v>
      </c>
      <c r="K727" s="40">
        <v>0</v>
      </c>
      <c r="L727" s="40">
        <v>0</v>
      </c>
      <c r="M727" s="10"/>
    </row>
    <row r="728" spans="1:15" ht="17.100000000000001" hidden="1" customHeight="1" x14ac:dyDescent="0.2">
      <c r="A728" s="3" t="s">
        <v>5</v>
      </c>
      <c r="B728" s="3" t="s">
        <v>540</v>
      </c>
      <c r="C728" s="3" t="s">
        <v>31</v>
      </c>
      <c r="D728" s="2"/>
      <c r="E728" s="5" t="s">
        <v>32</v>
      </c>
      <c r="F728" s="18">
        <f>F729</f>
        <v>10000</v>
      </c>
      <c r="G728" s="19">
        <f>G729</f>
        <v>0</v>
      </c>
      <c r="H728" s="19">
        <f>H729</f>
        <v>0</v>
      </c>
      <c r="I728" s="41">
        <f>I729</f>
        <v>0</v>
      </c>
      <c r="J728" s="39">
        <f t="shared" si="21"/>
        <v>0</v>
      </c>
      <c r="K728" s="41">
        <f>K729</f>
        <v>0</v>
      </c>
      <c r="L728" s="41">
        <f>L729</f>
        <v>0</v>
      </c>
      <c r="M728" s="10"/>
    </row>
    <row r="729" spans="1:15" ht="17.100000000000001" hidden="1" customHeight="1" x14ac:dyDescent="0.2">
      <c r="A729" s="3" t="s">
        <v>5</v>
      </c>
      <c r="B729" s="3" t="s">
        <v>540</v>
      </c>
      <c r="C729" s="3" t="s">
        <v>31</v>
      </c>
      <c r="D729" s="3" t="s">
        <v>544</v>
      </c>
      <c r="E729" s="5" t="s">
        <v>545</v>
      </c>
      <c r="F729" s="18">
        <v>10000</v>
      </c>
      <c r="G729" s="17">
        <v>0</v>
      </c>
      <c r="H729" s="17">
        <v>0</v>
      </c>
      <c r="I729" s="40">
        <v>0</v>
      </c>
      <c r="J729" s="39">
        <f t="shared" si="21"/>
        <v>0</v>
      </c>
      <c r="K729" s="40">
        <v>0</v>
      </c>
      <c r="L729" s="40">
        <v>0</v>
      </c>
      <c r="M729" s="47"/>
      <c r="N729" s="9"/>
      <c r="O729" s="9"/>
    </row>
    <row r="730" spans="1:15" ht="55.5" hidden="1" customHeight="1" x14ac:dyDescent="0.2">
      <c r="A730" s="3" t="s">
        <v>5</v>
      </c>
      <c r="B730" s="3" t="s">
        <v>540</v>
      </c>
      <c r="C730" s="3" t="s">
        <v>33</v>
      </c>
      <c r="D730" s="2"/>
      <c r="E730" s="5" t="s">
        <v>34</v>
      </c>
      <c r="F730" s="18">
        <f>F731</f>
        <v>1508300</v>
      </c>
      <c r="G730" s="19">
        <f>G731</f>
        <v>2614700</v>
      </c>
      <c r="H730" s="19">
        <f>H731</f>
        <v>0</v>
      </c>
      <c r="I730" s="41">
        <f>I731</f>
        <v>0</v>
      </c>
      <c r="J730" s="39">
        <f t="shared" si="21"/>
        <v>0</v>
      </c>
      <c r="K730" s="41">
        <f>K731</f>
        <v>0</v>
      </c>
      <c r="L730" s="41">
        <f>L731</f>
        <v>0</v>
      </c>
      <c r="M730" s="10"/>
    </row>
    <row r="731" spans="1:15" ht="17.100000000000001" hidden="1" customHeight="1" x14ac:dyDescent="0.2">
      <c r="A731" s="3" t="s">
        <v>5</v>
      </c>
      <c r="B731" s="3" t="s">
        <v>540</v>
      </c>
      <c r="C731" s="3" t="s">
        <v>33</v>
      </c>
      <c r="D731" s="3" t="s">
        <v>544</v>
      </c>
      <c r="E731" s="5" t="s">
        <v>545</v>
      </c>
      <c r="F731" s="18">
        <v>1508300</v>
      </c>
      <c r="G731" s="17">
        <v>2614700</v>
      </c>
      <c r="H731" s="17"/>
      <c r="I731" s="40">
        <v>0</v>
      </c>
      <c r="J731" s="39">
        <f t="shared" si="21"/>
        <v>0</v>
      </c>
      <c r="K731" s="40">
        <v>0</v>
      </c>
      <c r="L731" s="40">
        <v>0</v>
      </c>
      <c r="M731" s="10"/>
    </row>
    <row r="732" spans="1:15" ht="59.25" hidden="1" customHeight="1" x14ac:dyDescent="0.2">
      <c r="A732" s="3" t="s">
        <v>5</v>
      </c>
      <c r="B732" s="3" t="s">
        <v>540</v>
      </c>
      <c r="C732" s="3" t="s">
        <v>170</v>
      </c>
      <c r="D732" s="3"/>
      <c r="E732" s="5" t="s">
        <v>34</v>
      </c>
      <c r="F732" s="18"/>
      <c r="G732" s="17"/>
      <c r="H732" s="17"/>
      <c r="I732" s="40">
        <f>I733</f>
        <v>0</v>
      </c>
      <c r="J732" s="39">
        <f t="shared" si="21"/>
        <v>0</v>
      </c>
      <c r="K732" s="40">
        <f>K733</f>
        <v>0</v>
      </c>
      <c r="L732" s="40">
        <f>L733</f>
        <v>0</v>
      </c>
      <c r="M732" s="10"/>
    </row>
    <row r="733" spans="1:15" ht="17.100000000000001" hidden="1" customHeight="1" x14ac:dyDescent="0.2">
      <c r="A733" s="3" t="s">
        <v>5</v>
      </c>
      <c r="B733" s="3" t="s">
        <v>540</v>
      </c>
      <c r="C733" s="3" t="s">
        <v>170</v>
      </c>
      <c r="D733" s="3" t="s">
        <v>544</v>
      </c>
      <c r="E733" s="5" t="s">
        <v>545</v>
      </c>
      <c r="F733" s="18"/>
      <c r="G733" s="17"/>
      <c r="H733" s="17"/>
      <c r="I733" s="40"/>
      <c r="J733" s="39">
        <f t="shared" si="21"/>
        <v>0</v>
      </c>
      <c r="K733" s="40"/>
      <c r="L733" s="40"/>
      <c r="M733" s="10"/>
    </row>
    <row r="734" spans="1:15" ht="48.75" customHeight="1" x14ac:dyDescent="0.2">
      <c r="A734" s="3" t="s">
        <v>5</v>
      </c>
      <c r="B734" s="3" t="s">
        <v>540</v>
      </c>
      <c r="C734" s="3" t="s">
        <v>195</v>
      </c>
      <c r="D734" s="3"/>
      <c r="E734" s="5" t="s">
        <v>267</v>
      </c>
      <c r="F734" s="18"/>
      <c r="G734" s="17"/>
      <c r="H734" s="17"/>
      <c r="I734" s="40">
        <f>I735</f>
        <v>0</v>
      </c>
      <c r="J734" s="39">
        <f t="shared" si="21"/>
        <v>2232000</v>
      </c>
      <c r="K734" s="40">
        <f>K735</f>
        <v>2232000</v>
      </c>
      <c r="L734" s="40">
        <f>L735</f>
        <v>2232000</v>
      </c>
      <c r="M734" s="10"/>
    </row>
    <row r="735" spans="1:15" ht="17.100000000000001" customHeight="1" x14ac:dyDescent="0.2">
      <c r="A735" s="3" t="s">
        <v>5</v>
      </c>
      <c r="B735" s="3" t="s">
        <v>540</v>
      </c>
      <c r="C735" s="3" t="s">
        <v>195</v>
      </c>
      <c r="D735" s="3" t="s">
        <v>544</v>
      </c>
      <c r="E735" s="5" t="s">
        <v>545</v>
      </c>
      <c r="F735" s="18"/>
      <c r="G735" s="17"/>
      <c r="H735" s="17"/>
      <c r="I735" s="40">
        <v>0</v>
      </c>
      <c r="J735" s="39">
        <f t="shared" si="21"/>
        <v>2232000</v>
      </c>
      <c r="K735" s="40">
        <v>2232000</v>
      </c>
      <c r="L735" s="40">
        <v>2232000</v>
      </c>
      <c r="M735" s="10"/>
    </row>
    <row r="736" spans="1:15" ht="21" hidden="1" customHeight="1" x14ac:dyDescent="0.2">
      <c r="A736" s="3" t="s">
        <v>5</v>
      </c>
      <c r="B736" s="3" t="s">
        <v>540</v>
      </c>
      <c r="C736" s="3" t="s">
        <v>196</v>
      </c>
      <c r="D736" s="3"/>
      <c r="E736" s="5" t="s">
        <v>268</v>
      </c>
      <c r="F736" s="18"/>
      <c r="G736" s="17"/>
      <c r="H736" s="17"/>
      <c r="I736" s="40">
        <f>I737</f>
        <v>0</v>
      </c>
      <c r="J736" s="39">
        <f t="shared" si="21"/>
        <v>0</v>
      </c>
      <c r="K736" s="40">
        <f>K737</f>
        <v>0</v>
      </c>
      <c r="L736" s="40">
        <f>L737</f>
        <v>0</v>
      </c>
      <c r="M736" s="10"/>
    </row>
    <row r="737" spans="1:13" ht="17.100000000000001" hidden="1" customHeight="1" x14ac:dyDescent="0.2">
      <c r="A737" s="3" t="s">
        <v>5</v>
      </c>
      <c r="B737" s="3" t="s">
        <v>540</v>
      </c>
      <c r="C737" s="3" t="s">
        <v>196</v>
      </c>
      <c r="D737" s="3" t="s">
        <v>544</v>
      </c>
      <c r="E737" s="5" t="s">
        <v>545</v>
      </c>
      <c r="F737" s="18"/>
      <c r="G737" s="17"/>
      <c r="H737" s="17"/>
      <c r="I737" s="40"/>
      <c r="J737" s="39">
        <f t="shared" si="21"/>
        <v>0</v>
      </c>
      <c r="K737" s="40"/>
      <c r="L737" s="40"/>
      <c r="M737" s="10"/>
    </row>
    <row r="738" spans="1:13" ht="22.5" hidden="1" customHeight="1" x14ac:dyDescent="0.2">
      <c r="A738" s="3" t="s">
        <v>5</v>
      </c>
      <c r="B738" s="3" t="s">
        <v>540</v>
      </c>
      <c r="C738" s="3" t="s">
        <v>197</v>
      </c>
      <c r="D738" s="3"/>
      <c r="E738" s="5" t="s">
        <v>269</v>
      </c>
      <c r="F738" s="18"/>
      <c r="G738" s="17"/>
      <c r="H738" s="17"/>
      <c r="I738" s="40">
        <f>I739</f>
        <v>0</v>
      </c>
      <c r="J738" s="39">
        <f t="shared" si="21"/>
        <v>0</v>
      </c>
      <c r="K738" s="40">
        <f>K739</f>
        <v>0</v>
      </c>
      <c r="L738" s="40">
        <f>L739</f>
        <v>0</v>
      </c>
      <c r="M738" s="10"/>
    </row>
    <row r="739" spans="1:13" ht="17.100000000000001" hidden="1" customHeight="1" x14ac:dyDescent="0.2">
      <c r="A739" s="3" t="s">
        <v>5</v>
      </c>
      <c r="B739" s="3" t="s">
        <v>540</v>
      </c>
      <c r="C739" s="3" t="s">
        <v>197</v>
      </c>
      <c r="D739" s="3" t="s">
        <v>544</v>
      </c>
      <c r="E739" s="5" t="s">
        <v>545</v>
      </c>
      <c r="F739" s="18"/>
      <c r="G739" s="17"/>
      <c r="H739" s="17"/>
      <c r="I739" s="40"/>
      <c r="J739" s="39">
        <f t="shared" si="21"/>
        <v>0</v>
      </c>
      <c r="K739" s="40"/>
      <c r="L739" s="40"/>
      <c r="M739" s="10"/>
    </row>
    <row r="740" spans="1:13" ht="31.5" hidden="1" x14ac:dyDescent="0.2">
      <c r="A740" s="3" t="s">
        <v>5</v>
      </c>
      <c r="B740" s="3" t="s">
        <v>540</v>
      </c>
      <c r="C740" s="3" t="s">
        <v>35</v>
      </c>
      <c r="D740" s="2"/>
      <c r="E740" s="5" t="s">
        <v>36</v>
      </c>
      <c r="F740" s="18">
        <f>F741</f>
        <v>12700</v>
      </c>
      <c r="G740" s="19">
        <f>G741</f>
        <v>-12700</v>
      </c>
      <c r="H740" s="19">
        <f>H741</f>
        <v>0</v>
      </c>
      <c r="I740" s="41">
        <f>I741</f>
        <v>0</v>
      </c>
      <c r="J740" s="39">
        <f t="shared" si="21"/>
        <v>0</v>
      </c>
      <c r="K740" s="41">
        <f>K741</f>
        <v>0</v>
      </c>
      <c r="L740" s="41">
        <f>L741</f>
        <v>0</v>
      </c>
      <c r="M740" s="10"/>
    </row>
    <row r="741" spans="1:13" hidden="1" x14ac:dyDescent="0.2">
      <c r="A741" s="3" t="s">
        <v>5</v>
      </c>
      <c r="B741" s="3" t="s">
        <v>540</v>
      </c>
      <c r="C741" s="3" t="s">
        <v>35</v>
      </c>
      <c r="D741" s="3" t="s">
        <v>544</v>
      </c>
      <c r="E741" s="5" t="s">
        <v>545</v>
      </c>
      <c r="F741" s="18">
        <v>12700</v>
      </c>
      <c r="G741" s="17">
        <v>-12700</v>
      </c>
      <c r="H741" s="17"/>
      <c r="I741" s="40">
        <v>0</v>
      </c>
      <c r="J741" s="39">
        <f t="shared" si="21"/>
        <v>0</v>
      </c>
      <c r="K741" s="40">
        <v>0</v>
      </c>
      <c r="L741" s="40">
        <v>0</v>
      </c>
      <c r="M741" s="10"/>
    </row>
    <row r="742" spans="1:13" ht="21.75" customHeight="1" x14ac:dyDescent="0.2">
      <c r="A742" s="3" t="s">
        <v>5</v>
      </c>
      <c r="B742" s="3" t="s">
        <v>540</v>
      </c>
      <c r="C742" s="3" t="s">
        <v>37</v>
      </c>
      <c r="D742" s="2"/>
      <c r="E742" s="5" t="s">
        <v>38</v>
      </c>
      <c r="F742" s="18">
        <f>F743</f>
        <v>20818100</v>
      </c>
      <c r="G742" s="19">
        <f>G743</f>
        <v>270900</v>
      </c>
      <c r="H742" s="19">
        <f>H743</f>
        <v>0</v>
      </c>
      <c r="I742" s="41">
        <f>I743</f>
        <v>0</v>
      </c>
      <c r="J742" s="39">
        <f t="shared" si="21"/>
        <v>12573700</v>
      </c>
      <c r="K742" s="41">
        <f>K743</f>
        <v>12573700</v>
      </c>
      <c r="L742" s="41">
        <f>L743</f>
        <v>13525200</v>
      </c>
      <c r="M742" s="10"/>
    </row>
    <row r="743" spans="1:13" ht="17.100000000000001" customHeight="1" x14ac:dyDescent="0.2">
      <c r="A743" s="3" t="s">
        <v>5</v>
      </c>
      <c r="B743" s="3" t="s">
        <v>540</v>
      </c>
      <c r="C743" s="3" t="s">
        <v>37</v>
      </c>
      <c r="D743" s="3" t="s">
        <v>544</v>
      </c>
      <c r="E743" s="5" t="s">
        <v>545</v>
      </c>
      <c r="F743" s="18">
        <v>20818100</v>
      </c>
      <c r="G743" s="17">
        <v>270900</v>
      </c>
      <c r="H743" s="17"/>
      <c r="I743" s="40">
        <v>0</v>
      </c>
      <c r="J743" s="39">
        <f t="shared" si="21"/>
        <v>12573700</v>
      </c>
      <c r="K743" s="40">
        <v>12573700</v>
      </c>
      <c r="L743" s="40">
        <v>13525200</v>
      </c>
      <c r="M743" s="10"/>
    </row>
    <row r="744" spans="1:13" ht="28.5" hidden="1" customHeight="1" x14ac:dyDescent="0.2">
      <c r="A744" s="3" t="s">
        <v>5</v>
      </c>
      <c r="B744" s="3" t="s">
        <v>540</v>
      </c>
      <c r="C744" s="3" t="s">
        <v>39</v>
      </c>
      <c r="D744" s="2"/>
      <c r="E744" s="5" t="s">
        <v>40</v>
      </c>
      <c r="F744" s="18">
        <f>F745</f>
        <v>28800</v>
      </c>
      <c r="G744" s="19">
        <f>G745</f>
        <v>-5500</v>
      </c>
      <c r="H744" s="19">
        <f>H745</f>
        <v>0</v>
      </c>
      <c r="I744" s="41">
        <f>I745</f>
        <v>0</v>
      </c>
      <c r="J744" s="39">
        <f t="shared" si="21"/>
        <v>0</v>
      </c>
      <c r="K744" s="41">
        <f>K745</f>
        <v>0</v>
      </c>
      <c r="L744" s="41">
        <f>L745</f>
        <v>0</v>
      </c>
      <c r="M744" s="10"/>
    </row>
    <row r="745" spans="1:13" ht="17.100000000000001" hidden="1" customHeight="1" x14ac:dyDescent="0.2">
      <c r="A745" s="3" t="s">
        <v>5</v>
      </c>
      <c r="B745" s="3" t="s">
        <v>540</v>
      </c>
      <c r="C745" s="3" t="s">
        <v>39</v>
      </c>
      <c r="D745" s="3" t="s">
        <v>544</v>
      </c>
      <c r="E745" s="5" t="s">
        <v>545</v>
      </c>
      <c r="F745" s="18">
        <v>28800</v>
      </c>
      <c r="G745" s="17">
        <v>-5500</v>
      </c>
      <c r="H745" s="17"/>
      <c r="I745" s="40">
        <v>0</v>
      </c>
      <c r="J745" s="39">
        <f t="shared" si="21"/>
        <v>0</v>
      </c>
      <c r="K745" s="40">
        <v>0</v>
      </c>
      <c r="L745" s="40">
        <v>0</v>
      </c>
      <c r="M745" s="10"/>
    </row>
    <row r="746" spans="1:13" ht="27" hidden="1" customHeight="1" x14ac:dyDescent="0.2">
      <c r="A746" s="3" t="s">
        <v>5</v>
      </c>
      <c r="B746" s="3" t="s">
        <v>540</v>
      </c>
      <c r="C746" s="3" t="s">
        <v>41</v>
      </c>
      <c r="D746" s="2"/>
      <c r="E746" s="5" t="s">
        <v>40</v>
      </c>
      <c r="F746" s="18">
        <f>F747</f>
        <v>23700</v>
      </c>
      <c r="G746" s="19">
        <f>G747</f>
        <v>0</v>
      </c>
      <c r="H746" s="19">
        <f>H747</f>
        <v>0</v>
      </c>
      <c r="I746" s="41">
        <f>I747</f>
        <v>0</v>
      </c>
      <c r="J746" s="39">
        <f t="shared" si="21"/>
        <v>0</v>
      </c>
      <c r="K746" s="41">
        <f>K747</f>
        <v>0</v>
      </c>
      <c r="L746" s="41">
        <f>L747</f>
        <v>0</v>
      </c>
      <c r="M746" s="10"/>
    </row>
    <row r="747" spans="1:13" ht="17.100000000000001" hidden="1" customHeight="1" x14ac:dyDescent="0.2">
      <c r="A747" s="3" t="s">
        <v>5</v>
      </c>
      <c r="B747" s="3" t="s">
        <v>540</v>
      </c>
      <c r="C747" s="3" t="s">
        <v>41</v>
      </c>
      <c r="D747" s="3" t="s">
        <v>544</v>
      </c>
      <c r="E747" s="5" t="s">
        <v>545</v>
      </c>
      <c r="F747" s="18">
        <v>23700</v>
      </c>
      <c r="G747" s="17">
        <v>0</v>
      </c>
      <c r="H747" s="17">
        <v>0</v>
      </c>
      <c r="I747" s="40">
        <v>0</v>
      </c>
      <c r="J747" s="39">
        <f t="shared" si="21"/>
        <v>0</v>
      </c>
      <c r="K747" s="40">
        <v>0</v>
      </c>
      <c r="L747" s="40">
        <v>0</v>
      </c>
      <c r="M747" s="10"/>
    </row>
    <row r="748" spans="1:13" ht="22.5" customHeight="1" x14ac:dyDescent="0.2">
      <c r="A748" s="3" t="s">
        <v>5</v>
      </c>
      <c r="B748" s="3" t="s">
        <v>540</v>
      </c>
      <c r="C748" s="3" t="s">
        <v>43</v>
      </c>
      <c r="D748" s="2"/>
      <c r="E748" s="5" t="s">
        <v>42</v>
      </c>
      <c r="F748" s="18">
        <f>F749</f>
        <v>329000</v>
      </c>
      <c r="G748" s="19">
        <f>G749</f>
        <v>108000</v>
      </c>
      <c r="H748" s="19">
        <f>H749</f>
        <v>0</v>
      </c>
      <c r="I748" s="41">
        <f>I749</f>
        <v>3689900</v>
      </c>
      <c r="J748" s="39">
        <f t="shared" si="21"/>
        <v>-756100</v>
      </c>
      <c r="K748" s="41">
        <f>K749</f>
        <v>2933800</v>
      </c>
      <c r="L748" s="41">
        <f>L749</f>
        <v>3227100</v>
      </c>
      <c r="M748" s="10"/>
    </row>
    <row r="749" spans="1:13" ht="17.100000000000001" customHeight="1" x14ac:dyDescent="0.2">
      <c r="A749" s="3" t="s">
        <v>5</v>
      </c>
      <c r="B749" s="3" t="s">
        <v>540</v>
      </c>
      <c r="C749" s="3" t="s">
        <v>43</v>
      </c>
      <c r="D749" s="3" t="s">
        <v>544</v>
      </c>
      <c r="E749" s="5" t="s">
        <v>545</v>
      </c>
      <c r="F749" s="18">
        <v>329000</v>
      </c>
      <c r="G749" s="17">
        <v>108000</v>
      </c>
      <c r="H749" s="17"/>
      <c r="I749" s="40">
        <v>3689900</v>
      </c>
      <c r="J749" s="39">
        <f t="shared" si="21"/>
        <v>-756100</v>
      </c>
      <c r="K749" s="40">
        <v>2933800</v>
      </c>
      <c r="L749" s="40">
        <v>3227100</v>
      </c>
      <c r="M749" s="10"/>
    </row>
    <row r="750" spans="1:13" ht="17.100000000000001" customHeight="1" x14ac:dyDescent="0.2">
      <c r="A750" s="29" t="s">
        <v>5</v>
      </c>
      <c r="B750" s="30" t="s">
        <v>540</v>
      </c>
      <c r="C750" s="30" t="s">
        <v>142</v>
      </c>
      <c r="D750" s="2"/>
      <c r="E750" s="31" t="s">
        <v>27</v>
      </c>
      <c r="F750" s="18"/>
      <c r="G750" s="17"/>
      <c r="H750" s="17"/>
      <c r="I750" s="40">
        <f>I751</f>
        <v>8095000</v>
      </c>
      <c r="J750" s="39">
        <f t="shared" si="21"/>
        <v>-8095000</v>
      </c>
      <c r="K750" s="40">
        <f>K751</f>
        <v>0</v>
      </c>
      <c r="L750" s="40">
        <f>L751</f>
        <v>0</v>
      </c>
      <c r="M750" s="10"/>
    </row>
    <row r="751" spans="1:13" ht="17.100000000000001" customHeight="1" x14ac:dyDescent="0.2">
      <c r="A751" s="29" t="s">
        <v>5</v>
      </c>
      <c r="B751" s="30" t="s">
        <v>540</v>
      </c>
      <c r="C751" s="30" t="s">
        <v>142</v>
      </c>
      <c r="D751" s="3" t="s">
        <v>544</v>
      </c>
      <c r="E751" s="31" t="s">
        <v>545</v>
      </c>
      <c r="F751" s="18"/>
      <c r="G751" s="17"/>
      <c r="H751" s="17"/>
      <c r="I751" s="40">
        <v>8095000</v>
      </c>
      <c r="J751" s="39">
        <f t="shared" si="21"/>
        <v>-8095000</v>
      </c>
      <c r="K751" s="40">
        <v>0</v>
      </c>
      <c r="L751" s="40">
        <v>0</v>
      </c>
      <c r="M751" s="10"/>
    </row>
    <row r="752" spans="1:13" ht="17.100000000000001" customHeight="1" x14ac:dyDescent="0.2">
      <c r="A752" s="29" t="s">
        <v>5</v>
      </c>
      <c r="B752" s="30" t="s">
        <v>540</v>
      </c>
      <c r="C752" s="30" t="s">
        <v>198</v>
      </c>
      <c r="D752" s="3"/>
      <c r="E752" s="31" t="s">
        <v>27</v>
      </c>
      <c r="F752" s="18"/>
      <c r="G752" s="17"/>
      <c r="H752" s="17"/>
      <c r="I752" s="40">
        <f>I753</f>
        <v>0</v>
      </c>
      <c r="J752" s="39">
        <f t="shared" si="21"/>
        <v>7768000</v>
      </c>
      <c r="K752" s="40">
        <f>K753</f>
        <v>7768000</v>
      </c>
      <c r="L752" s="40">
        <f>L753</f>
        <v>7768000</v>
      </c>
      <c r="M752" s="10"/>
    </row>
    <row r="753" spans="1:13" ht="17.100000000000001" customHeight="1" x14ac:dyDescent="0.2">
      <c r="A753" s="29" t="s">
        <v>5</v>
      </c>
      <c r="B753" s="30" t="s">
        <v>540</v>
      </c>
      <c r="C753" s="30" t="s">
        <v>198</v>
      </c>
      <c r="D753" s="3" t="s">
        <v>544</v>
      </c>
      <c r="E753" s="31" t="s">
        <v>545</v>
      </c>
      <c r="F753" s="18"/>
      <c r="G753" s="17"/>
      <c r="H753" s="17"/>
      <c r="I753" s="40">
        <v>0</v>
      </c>
      <c r="J753" s="39">
        <f t="shared" si="21"/>
        <v>7768000</v>
      </c>
      <c r="K753" s="40">
        <v>7768000</v>
      </c>
      <c r="L753" s="40">
        <v>7768000</v>
      </c>
      <c r="M753" s="10"/>
    </row>
    <row r="754" spans="1:13" ht="24.75" customHeight="1" x14ac:dyDescent="0.2">
      <c r="A754" s="29" t="s">
        <v>5</v>
      </c>
      <c r="B754" s="30" t="s">
        <v>540</v>
      </c>
      <c r="C754" s="30" t="s">
        <v>143</v>
      </c>
      <c r="D754" s="2"/>
      <c r="E754" s="31" t="s">
        <v>144</v>
      </c>
      <c r="F754" s="18"/>
      <c r="G754" s="17"/>
      <c r="H754" s="17"/>
      <c r="I754" s="40">
        <f>I755</f>
        <v>5461000</v>
      </c>
      <c r="J754" s="39">
        <f t="shared" si="21"/>
        <v>-5461000</v>
      </c>
      <c r="K754" s="40">
        <f>K755</f>
        <v>0</v>
      </c>
      <c r="L754" s="40">
        <f>L755</f>
        <v>0</v>
      </c>
      <c r="M754" s="10"/>
    </row>
    <row r="755" spans="1:13" ht="17.100000000000001" customHeight="1" x14ac:dyDescent="0.2">
      <c r="A755" s="29" t="s">
        <v>5</v>
      </c>
      <c r="B755" s="30" t="s">
        <v>540</v>
      </c>
      <c r="C755" s="30" t="s">
        <v>143</v>
      </c>
      <c r="D755" s="3" t="s">
        <v>544</v>
      </c>
      <c r="E755" s="31" t="s">
        <v>545</v>
      </c>
      <c r="F755" s="18"/>
      <c r="G755" s="17"/>
      <c r="H755" s="17"/>
      <c r="I755" s="40">
        <v>5461000</v>
      </c>
      <c r="J755" s="39">
        <f t="shared" si="21"/>
        <v>-5461000</v>
      </c>
      <c r="K755" s="40">
        <v>0</v>
      </c>
      <c r="L755" s="40">
        <v>0</v>
      </c>
      <c r="M755" s="10"/>
    </row>
    <row r="756" spans="1:13" ht="17.100000000000001" customHeight="1" x14ac:dyDescent="0.2">
      <c r="A756" s="29" t="s">
        <v>5</v>
      </c>
      <c r="B756" s="30" t="s">
        <v>540</v>
      </c>
      <c r="C756" s="30" t="s">
        <v>199</v>
      </c>
      <c r="D756" s="3"/>
      <c r="E756" s="31" t="s">
        <v>149</v>
      </c>
      <c r="F756" s="18"/>
      <c r="G756" s="17"/>
      <c r="H756" s="17"/>
      <c r="I756" s="40">
        <f>I757</f>
        <v>0</v>
      </c>
      <c r="J756" s="39">
        <f t="shared" si="21"/>
        <v>7821000</v>
      </c>
      <c r="K756" s="40">
        <f>K757</f>
        <v>7821000</v>
      </c>
      <c r="L756" s="40">
        <f>L757</f>
        <v>8313000</v>
      </c>
      <c r="M756" s="10"/>
    </row>
    <row r="757" spans="1:13" ht="15.75" customHeight="1" x14ac:dyDescent="0.2">
      <c r="A757" s="29" t="s">
        <v>5</v>
      </c>
      <c r="B757" s="30" t="s">
        <v>540</v>
      </c>
      <c r="C757" s="30" t="s">
        <v>199</v>
      </c>
      <c r="D757" s="3" t="s">
        <v>544</v>
      </c>
      <c r="E757" s="31" t="s">
        <v>545</v>
      </c>
      <c r="F757" s="18"/>
      <c r="G757" s="17"/>
      <c r="H757" s="17"/>
      <c r="I757" s="40">
        <v>0</v>
      </c>
      <c r="J757" s="39">
        <f t="shared" si="21"/>
        <v>7821000</v>
      </c>
      <c r="K757" s="40">
        <v>7821000</v>
      </c>
      <c r="L757" s="40">
        <v>8313000</v>
      </c>
      <c r="M757" s="10"/>
    </row>
    <row r="758" spans="1:13" ht="17.100000000000001" customHeight="1" x14ac:dyDescent="0.2">
      <c r="A758" s="29" t="s">
        <v>5</v>
      </c>
      <c r="B758" s="30" t="s">
        <v>540</v>
      </c>
      <c r="C758" s="30" t="s">
        <v>145</v>
      </c>
      <c r="D758" s="2"/>
      <c r="E758" s="31" t="s">
        <v>32</v>
      </c>
      <c r="F758" s="18"/>
      <c r="G758" s="17"/>
      <c r="H758" s="17"/>
      <c r="I758" s="40">
        <f>I759</f>
        <v>40000</v>
      </c>
      <c r="J758" s="39">
        <f t="shared" si="21"/>
        <v>-29900</v>
      </c>
      <c r="K758" s="40">
        <f>K759</f>
        <v>10100</v>
      </c>
      <c r="L758" s="40">
        <f>L759</f>
        <v>10100</v>
      </c>
      <c r="M758" s="10"/>
    </row>
    <row r="759" spans="1:13" ht="17.100000000000001" customHeight="1" x14ac:dyDescent="0.2">
      <c r="A759" s="29" t="s">
        <v>5</v>
      </c>
      <c r="B759" s="30" t="s">
        <v>540</v>
      </c>
      <c r="C759" s="30" t="s">
        <v>145</v>
      </c>
      <c r="D759" s="3" t="s">
        <v>544</v>
      </c>
      <c r="E759" s="31" t="s">
        <v>545</v>
      </c>
      <c r="F759" s="18"/>
      <c r="G759" s="17"/>
      <c r="H759" s="17"/>
      <c r="I759" s="40">
        <v>40000</v>
      </c>
      <c r="J759" s="39">
        <f t="shared" si="21"/>
        <v>-29900</v>
      </c>
      <c r="K759" s="40">
        <v>10100</v>
      </c>
      <c r="L759" s="40">
        <v>10100</v>
      </c>
      <c r="M759" s="10"/>
    </row>
    <row r="760" spans="1:13" ht="21.75" customHeight="1" x14ac:dyDescent="0.2">
      <c r="A760" s="29" t="s">
        <v>5</v>
      </c>
      <c r="B760" s="30" t="s">
        <v>540</v>
      </c>
      <c r="C760" s="30" t="s">
        <v>200</v>
      </c>
      <c r="D760" s="2"/>
      <c r="E760" s="31" t="s">
        <v>147</v>
      </c>
      <c r="F760" s="18"/>
      <c r="G760" s="17"/>
      <c r="H760" s="17"/>
      <c r="I760" s="40">
        <f>I761</f>
        <v>0</v>
      </c>
      <c r="J760" s="39">
        <f t="shared" si="21"/>
        <v>92000</v>
      </c>
      <c r="K760" s="40">
        <f>K761</f>
        <v>92000</v>
      </c>
      <c r="L760" s="40">
        <f>L761</f>
        <v>93000</v>
      </c>
      <c r="M760" s="10"/>
    </row>
    <row r="761" spans="1:13" ht="17.100000000000001" customHeight="1" x14ac:dyDescent="0.2">
      <c r="A761" s="29" t="s">
        <v>5</v>
      </c>
      <c r="B761" s="30" t="s">
        <v>540</v>
      </c>
      <c r="C761" s="30" t="s">
        <v>200</v>
      </c>
      <c r="D761" s="3" t="s">
        <v>544</v>
      </c>
      <c r="E761" s="31" t="s">
        <v>545</v>
      </c>
      <c r="F761" s="18"/>
      <c r="G761" s="17"/>
      <c r="H761" s="17"/>
      <c r="I761" s="40">
        <v>0</v>
      </c>
      <c r="J761" s="39">
        <f t="shared" si="21"/>
        <v>92000</v>
      </c>
      <c r="K761" s="40">
        <v>92000</v>
      </c>
      <c r="L761" s="40">
        <v>93000</v>
      </c>
      <c r="M761" s="10"/>
    </row>
    <row r="762" spans="1:13" ht="24.75" customHeight="1" x14ac:dyDescent="0.2">
      <c r="A762" s="29" t="s">
        <v>5</v>
      </c>
      <c r="B762" s="30" t="s">
        <v>540</v>
      </c>
      <c r="C762" s="30" t="s">
        <v>146</v>
      </c>
      <c r="D762" s="2"/>
      <c r="E762" s="31" t="s">
        <v>147</v>
      </c>
      <c r="F762" s="18"/>
      <c r="G762" s="17"/>
      <c r="H762" s="17"/>
      <c r="I762" s="40">
        <f>I763</f>
        <v>47000</v>
      </c>
      <c r="J762" s="39">
        <f t="shared" si="21"/>
        <v>-47000</v>
      </c>
      <c r="K762" s="40">
        <f>K763</f>
        <v>0</v>
      </c>
      <c r="L762" s="40">
        <f>L763</f>
        <v>0</v>
      </c>
      <c r="M762" s="10"/>
    </row>
    <row r="763" spans="1:13" ht="17.100000000000001" customHeight="1" x14ac:dyDescent="0.2">
      <c r="A763" s="29" t="s">
        <v>5</v>
      </c>
      <c r="B763" s="30" t="s">
        <v>540</v>
      </c>
      <c r="C763" s="30" t="s">
        <v>146</v>
      </c>
      <c r="D763" s="3" t="s">
        <v>544</v>
      </c>
      <c r="E763" s="31" t="s">
        <v>545</v>
      </c>
      <c r="F763" s="18"/>
      <c r="G763" s="17"/>
      <c r="H763" s="17"/>
      <c r="I763" s="40">
        <v>47000</v>
      </c>
      <c r="J763" s="39">
        <f t="shared" si="21"/>
        <v>-47000</v>
      </c>
      <c r="K763" s="40"/>
      <c r="L763" s="40"/>
      <c r="M763" s="10"/>
    </row>
    <row r="764" spans="1:13" ht="17.100000000000001" customHeight="1" x14ac:dyDescent="0.2">
      <c r="A764" s="3" t="s">
        <v>5</v>
      </c>
      <c r="B764" s="3" t="s">
        <v>540</v>
      </c>
      <c r="C764" s="3" t="s">
        <v>73</v>
      </c>
      <c r="D764" s="2"/>
      <c r="E764" s="11" t="s">
        <v>74</v>
      </c>
      <c r="F764" s="23">
        <f>F765</f>
        <v>0</v>
      </c>
      <c r="G764" s="19">
        <f>G765</f>
        <v>146000</v>
      </c>
      <c r="H764" s="19">
        <f>H765</f>
        <v>0</v>
      </c>
      <c r="I764" s="41">
        <f>I765</f>
        <v>426000</v>
      </c>
      <c r="J764" s="39">
        <f t="shared" si="21"/>
        <v>-153000</v>
      </c>
      <c r="K764" s="41">
        <f>K765</f>
        <v>273000</v>
      </c>
      <c r="L764" s="41">
        <f>L765</f>
        <v>273000</v>
      </c>
      <c r="M764" s="10"/>
    </row>
    <row r="765" spans="1:13" ht="17.100000000000001" customHeight="1" x14ac:dyDescent="0.2">
      <c r="A765" s="3" t="s">
        <v>5</v>
      </c>
      <c r="B765" s="3" t="s">
        <v>540</v>
      </c>
      <c r="C765" s="3" t="s">
        <v>73</v>
      </c>
      <c r="D765" s="3" t="s">
        <v>544</v>
      </c>
      <c r="E765" s="11" t="s">
        <v>545</v>
      </c>
      <c r="F765" s="18">
        <v>0</v>
      </c>
      <c r="G765" s="17">
        <v>146000</v>
      </c>
      <c r="H765" s="17"/>
      <c r="I765" s="40">
        <v>426000</v>
      </c>
      <c r="J765" s="39">
        <f t="shared" si="21"/>
        <v>-153000</v>
      </c>
      <c r="K765" s="40">
        <v>273000</v>
      </c>
      <c r="L765" s="40">
        <v>273000</v>
      </c>
      <c r="M765" s="10"/>
    </row>
    <row r="766" spans="1:13" ht="26.25" customHeight="1" x14ac:dyDescent="0.2">
      <c r="A766" s="3" t="s">
        <v>5</v>
      </c>
      <c r="B766" s="3" t="s">
        <v>540</v>
      </c>
      <c r="C766" s="3" t="s">
        <v>44</v>
      </c>
      <c r="D766" s="2"/>
      <c r="E766" s="5" t="s">
        <v>45</v>
      </c>
      <c r="F766" s="18">
        <f>F767</f>
        <v>278700</v>
      </c>
      <c r="G766" s="19">
        <f>G767</f>
        <v>265300</v>
      </c>
      <c r="H766" s="19">
        <f>H767</f>
        <v>0</v>
      </c>
      <c r="I766" s="41">
        <f>I767</f>
        <v>754000</v>
      </c>
      <c r="J766" s="39">
        <f t="shared" si="21"/>
        <v>642000</v>
      </c>
      <c r="K766" s="41">
        <f>K767</f>
        <v>1396000</v>
      </c>
      <c r="L766" s="41">
        <f>L767</f>
        <v>1526000</v>
      </c>
      <c r="M766" s="10"/>
    </row>
    <row r="767" spans="1:13" ht="17.100000000000001" customHeight="1" x14ac:dyDescent="0.2">
      <c r="A767" s="3" t="s">
        <v>5</v>
      </c>
      <c r="B767" s="3" t="s">
        <v>540</v>
      </c>
      <c r="C767" s="3" t="s">
        <v>44</v>
      </c>
      <c r="D767" s="3" t="s">
        <v>544</v>
      </c>
      <c r="E767" s="5" t="s">
        <v>545</v>
      </c>
      <c r="F767" s="18">
        <v>278700</v>
      </c>
      <c r="G767" s="17">
        <v>265300</v>
      </c>
      <c r="H767" s="17"/>
      <c r="I767" s="40">
        <v>754000</v>
      </c>
      <c r="J767" s="39">
        <f t="shared" si="21"/>
        <v>642000</v>
      </c>
      <c r="K767" s="40">
        <v>1396000</v>
      </c>
      <c r="L767" s="40">
        <v>1526000</v>
      </c>
      <c r="M767" s="10"/>
    </row>
    <row r="768" spans="1:13" ht="30" customHeight="1" x14ac:dyDescent="0.2">
      <c r="A768" s="3" t="s">
        <v>5</v>
      </c>
      <c r="B768" s="3" t="s">
        <v>540</v>
      </c>
      <c r="C768" s="3" t="s">
        <v>46</v>
      </c>
      <c r="D768" s="2"/>
      <c r="E768" s="5" t="s">
        <v>47</v>
      </c>
      <c r="F768" s="18">
        <f>F769</f>
        <v>4282700</v>
      </c>
      <c r="G768" s="19">
        <f>G769</f>
        <v>177300</v>
      </c>
      <c r="H768" s="19">
        <f>H769</f>
        <v>0</v>
      </c>
      <c r="I768" s="41">
        <f>I769</f>
        <v>6367000</v>
      </c>
      <c r="J768" s="39">
        <f t="shared" si="21"/>
        <v>1234000</v>
      </c>
      <c r="K768" s="41">
        <f>K769</f>
        <v>7601000</v>
      </c>
      <c r="L768" s="41">
        <f>L769</f>
        <v>8360000</v>
      </c>
      <c r="M768" s="10"/>
    </row>
    <row r="769" spans="1:15" ht="17.100000000000001" customHeight="1" x14ac:dyDescent="0.2">
      <c r="A769" s="3" t="s">
        <v>5</v>
      </c>
      <c r="B769" s="3" t="s">
        <v>540</v>
      </c>
      <c r="C769" s="3" t="s">
        <v>46</v>
      </c>
      <c r="D769" s="3" t="s">
        <v>544</v>
      </c>
      <c r="E769" s="5" t="s">
        <v>545</v>
      </c>
      <c r="F769" s="18">
        <v>4282700</v>
      </c>
      <c r="G769" s="17">
        <v>177300</v>
      </c>
      <c r="H769" s="17"/>
      <c r="I769" s="40">
        <v>6367000</v>
      </c>
      <c r="J769" s="39">
        <f t="shared" si="21"/>
        <v>1234000</v>
      </c>
      <c r="K769" s="40">
        <v>7601000</v>
      </c>
      <c r="L769" s="40">
        <v>8360000</v>
      </c>
      <c r="M769" s="10"/>
    </row>
    <row r="770" spans="1:15" ht="35.25" customHeight="1" x14ac:dyDescent="0.2">
      <c r="A770" s="3" t="s">
        <v>5</v>
      </c>
      <c r="B770" s="3" t="s">
        <v>540</v>
      </c>
      <c r="C770" s="3" t="s">
        <v>48</v>
      </c>
      <c r="D770" s="2"/>
      <c r="E770" s="5" t="s">
        <v>270</v>
      </c>
      <c r="F770" s="16">
        <f>F771</f>
        <v>2234000</v>
      </c>
      <c r="G770" s="19">
        <f>G771</f>
        <v>666000</v>
      </c>
      <c r="H770" s="19">
        <f>H771</f>
        <v>0</v>
      </c>
      <c r="I770" s="41">
        <f>I771</f>
        <v>2815130</v>
      </c>
      <c r="J770" s="39">
        <f t="shared" si="21"/>
        <v>161273</v>
      </c>
      <c r="K770" s="41">
        <f>K771</f>
        <v>2976403</v>
      </c>
      <c r="L770" s="41">
        <f>L771</f>
        <v>2976403</v>
      </c>
      <c r="M770" s="10"/>
    </row>
    <row r="771" spans="1:15" ht="17.25" customHeight="1" x14ac:dyDescent="0.2">
      <c r="A771" s="3" t="s">
        <v>5</v>
      </c>
      <c r="B771" s="3" t="s">
        <v>540</v>
      </c>
      <c r="C771" s="3" t="s">
        <v>48</v>
      </c>
      <c r="D771" s="3" t="s">
        <v>544</v>
      </c>
      <c r="E771" s="5" t="s">
        <v>545</v>
      </c>
      <c r="F771" s="16">
        <v>2234000</v>
      </c>
      <c r="G771" s="17">
        <v>666000</v>
      </c>
      <c r="H771" s="17"/>
      <c r="I771" s="40">
        <v>2815130</v>
      </c>
      <c r="J771" s="39">
        <f t="shared" si="21"/>
        <v>161273</v>
      </c>
      <c r="K771" s="40">
        <v>2976403</v>
      </c>
      <c r="L771" s="40">
        <v>2976403</v>
      </c>
      <c r="M771" s="10"/>
    </row>
    <row r="772" spans="1:15" ht="18.75" customHeight="1" x14ac:dyDescent="0.2">
      <c r="A772" s="3" t="s">
        <v>5</v>
      </c>
      <c r="B772" s="3" t="s">
        <v>540</v>
      </c>
      <c r="C772" s="3" t="s">
        <v>49</v>
      </c>
      <c r="D772" s="2"/>
      <c r="E772" s="5" t="s">
        <v>50</v>
      </c>
      <c r="F772" s="18">
        <f>F773</f>
        <v>1640600</v>
      </c>
      <c r="G772" s="19">
        <f>G773</f>
        <v>531400</v>
      </c>
      <c r="H772" s="19">
        <f>H773</f>
        <v>0</v>
      </c>
      <c r="I772" s="41">
        <f>I773</f>
        <v>2605000</v>
      </c>
      <c r="J772" s="39">
        <f t="shared" si="21"/>
        <v>-521000</v>
      </c>
      <c r="K772" s="41">
        <f>K773</f>
        <v>2084000</v>
      </c>
      <c r="L772" s="41">
        <f>L773</f>
        <v>2270000</v>
      </c>
      <c r="M772" s="10"/>
    </row>
    <row r="773" spans="1:15" ht="17.100000000000001" customHeight="1" x14ac:dyDescent="0.2">
      <c r="A773" s="3" t="s">
        <v>5</v>
      </c>
      <c r="B773" s="3" t="s">
        <v>540</v>
      </c>
      <c r="C773" s="3" t="s">
        <v>49</v>
      </c>
      <c r="D773" s="3" t="s">
        <v>544</v>
      </c>
      <c r="E773" s="5" t="s">
        <v>545</v>
      </c>
      <c r="F773" s="18">
        <v>1640600</v>
      </c>
      <c r="G773" s="17">
        <v>531400</v>
      </c>
      <c r="H773" s="17"/>
      <c r="I773" s="40">
        <v>2605000</v>
      </c>
      <c r="J773" s="39">
        <f t="shared" si="21"/>
        <v>-521000</v>
      </c>
      <c r="K773" s="40">
        <v>2084000</v>
      </c>
      <c r="L773" s="40">
        <v>2270000</v>
      </c>
      <c r="M773" s="10"/>
    </row>
    <row r="774" spans="1:15" ht="17.100000000000001" customHeight="1" x14ac:dyDescent="0.2">
      <c r="A774" s="3" t="s">
        <v>5</v>
      </c>
      <c r="B774" s="3" t="s">
        <v>540</v>
      </c>
      <c r="C774" s="3" t="s">
        <v>201</v>
      </c>
      <c r="D774" s="3"/>
      <c r="E774" s="5" t="s">
        <v>202</v>
      </c>
      <c r="F774" s="18"/>
      <c r="G774" s="17"/>
      <c r="H774" s="17"/>
      <c r="I774" s="40">
        <f>I775</f>
        <v>0</v>
      </c>
      <c r="J774" s="39">
        <f t="shared" si="21"/>
        <v>200000</v>
      </c>
      <c r="K774" s="40">
        <f>K775</f>
        <v>200000</v>
      </c>
      <c r="L774" s="40">
        <f>L775</f>
        <v>250000</v>
      </c>
      <c r="M774" s="10"/>
    </row>
    <row r="775" spans="1:15" ht="17.100000000000001" customHeight="1" x14ac:dyDescent="0.2">
      <c r="A775" s="3" t="s">
        <v>5</v>
      </c>
      <c r="B775" s="3" t="s">
        <v>540</v>
      </c>
      <c r="C775" s="3" t="s">
        <v>201</v>
      </c>
      <c r="D775" s="3" t="s">
        <v>544</v>
      </c>
      <c r="E775" s="5" t="s">
        <v>545</v>
      </c>
      <c r="F775" s="18"/>
      <c r="G775" s="17"/>
      <c r="H775" s="17"/>
      <c r="I775" s="40">
        <v>0</v>
      </c>
      <c r="J775" s="39">
        <f t="shared" si="21"/>
        <v>200000</v>
      </c>
      <c r="K775" s="40">
        <v>200000</v>
      </c>
      <c r="L775" s="40">
        <v>250000</v>
      </c>
      <c r="M775" s="10"/>
    </row>
    <row r="776" spans="1:15" ht="17.100000000000001" customHeight="1" x14ac:dyDescent="0.2">
      <c r="A776" s="3" t="s">
        <v>5</v>
      </c>
      <c r="B776" s="3" t="s">
        <v>51</v>
      </c>
      <c r="C776" s="2"/>
      <c r="D776" s="2"/>
      <c r="E776" s="5" t="s">
        <v>52</v>
      </c>
      <c r="F776" s="21">
        <f>F779+F781</f>
        <v>1750155</v>
      </c>
      <c r="G776" s="13">
        <f>G779+G781</f>
        <v>501800</v>
      </c>
      <c r="H776" s="13">
        <f>H779+H781</f>
        <v>0</v>
      </c>
      <c r="I776" s="39">
        <f>I779+I781+I785+I783+I777</f>
        <v>2507704</v>
      </c>
      <c r="J776" s="39">
        <f t="shared" ref="J776:J787" si="22">K776-I776</f>
        <v>1178</v>
      </c>
      <c r="K776" s="39">
        <f>K779+K781+K785+K783+K777</f>
        <v>2508882</v>
      </c>
      <c r="L776" s="39">
        <f>L779+L781+L785+L783+L777</f>
        <v>2508882</v>
      </c>
      <c r="M776" s="10"/>
    </row>
    <row r="777" spans="1:15" ht="36" customHeight="1" x14ac:dyDescent="0.2">
      <c r="A777" s="3" t="s">
        <v>5</v>
      </c>
      <c r="B777" s="3" t="s">
        <v>51</v>
      </c>
      <c r="C777" s="3" t="s">
        <v>287</v>
      </c>
      <c r="D777" s="2"/>
      <c r="E777" s="31" t="s">
        <v>300</v>
      </c>
      <c r="F777" s="21"/>
      <c r="G777" s="13"/>
      <c r="H777" s="13"/>
      <c r="I777" s="39">
        <f>I778</f>
        <v>0</v>
      </c>
      <c r="J777" s="39">
        <f t="shared" si="22"/>
        <v>1929238</v>
      </c>
      <c r="K777" s="39">
        <f>K778</f>
        <v>1929238</v>
      </c>
      <c r="L777" s="39">
        <f>L778</f>
        <v>1929238</v>
      </c>
      <c r="M777" s="10"/>
    </row>
    <row r="778" spans="1:15" ht="17.100000000000001" customHeight="1" x14ac:dyDescent="0.2">
      <c r="A778" s="3" t="s">
        <v>5</v>
      </c>
      <c r="B778" s="3" t="s">
        <v>51</v>
      </c>
      <c r="C778" s="3" t="s">
        <v>287</v>
      </c>
      <c r="D778" s="2">
        <v>500</v>
      </c>
      <c r="E778" s="31" t="s">
        <v>465</v>
      </c>
      <c r="F778" s="21"/>
      <c r="G778" s="13"/>
      <c r="H778" s="13"/>
      <c r="I778" s="39">
        <v>0</v>
      </c>
      <c r="J778" s="39">
        <f t="shared" si="22"/>
        <v>1929238</v>
      </c>
      <c r="K778" s="39">
        <v>1929238</v>
      </c>
      <c r="L778" s="39">
        <v>1929238</v>
      </c>
      <c r="M778" s="10"/>
    </row>
    <row r="779" spans="1:15" ht="17.100000000000001" customHeight="1" x14ac:dyDescent="0.2">
      <c r="A779" s="3" t="s">
        <v>5</v>
      </c>
      <c r="B779" s="3" t="s">
        <v>51</v>
      </c>
      <c r="C779" s="3" t="s">
        <v>514</v>
      </c>
      <c r="D779" s="2"/>
      <c r="E779" s="5" t="s">
        <v>485</v>
      </c>
      <c r="F779" s="18">
        <f>F780</f>
        <v>1350000</v>
      </c>
      <c r="G779" s="19">
        <f>G780</f>
        <v>451800</v>
      </c>
      <c r="H779" s="19">
        <f>H780</f>
        <v>0</v>
      </c>
      <c r="I779" s="41">
        <f>I780</f>
        <v>1964000</v>
      </c>
      <c r="J779" s="39">
        <f t="shared" si="22"/>
        <v>-1964000</v>
      </c>
      <c r="K779" s="41">
        <f>K780</f>
        <v>0</v>
      </c>
      <c r="L779" s="41">
        <f>L780</f>
        <v>0</v>
      </c>
      <c r="M779" s="10"/>
    </row>
    <row r="780" spans="1:15" ht="17.100000000000001" customHeight="1" x14ac:dyDescent="0.2">
      <c r="A780" s="3" t="s">
        <v>5</v>
      </c>
      <c r="B780" s="3" t="s">
        <v>51</v>
      </c>
      <c r="C780" s="3" t="s">
        <v>514</v>
      </c>
      <c r="D780" s="3" t="s">
        <v>464</v>
      </c>
      <c r="E780" s="5" t="s">
        <v>465</v>
      </c>
      <c r="F780" s="18">
        <v>1350000</v>
      </c>
      <c r="G780" s="17">
        <f>451800</f>
        <v>451800</v>
      </c>
      <c r="H780" s="17"/>
      <c r="I780" s="40">
        <v>1964000</v>
      </c>
      <c r="J780" s="39">
        <f t="shared" si="22"/>
        <v>-1964000</v>
      </c>
      <c r="K780" s="40">
        <v>0</v>
      </c>
      <c r="L780" s="40">
        <v>0</v>
      </c>
      <c r="M780" s="47"/>
      <c r="N780" s="9"/>
      <c r="O780" s="9"/>
    </row>
    <row r="781" spans="1:15" ht="17.100000000000001" customHeight="1" x14ac:dyDescent="0.2">
      <c r="A781" s="3" t="s">
        <v>5</v>
      </c>
      <c r="B781" s="3" t="s">
        <v>51</v>
      </c>
      <c r="C781" s="3" t="s">
        <v>53</v>
      </c>
      <c r="D781" s="2"/>
      <c r="E781" s="5" t="s">
        <v>271</v>
      </c>
      <c r="F781" s="18">
        <f>F782</f>
        <v>400155</v>
      </c>
      <c r="G781" s="19">
        <f>G782</f>
        <v>50000</v>
      </c>
      <c r="H781" s="19">
        <f>H782</f>
        <v>0</v>
      </c>
      <c r="I781" s="41">
        <f>I782</f>
        <v>418704</v>
      </c>
      <c r="J781" s="39">
        <f t="shared" si="22"/>
        <v>35940</v>
      </c>
      <c r="K781" s="41">
        <f>K782</f>
        <v>454644</v>
      </c>
      <c r="L781" s="41">
        <f>L782</f>
        <v>454644</v>
      </c>
      <c r="M781" s="10"/>
    </row>
    <row r="782" spans="1:15" ht="17.100000000000001" customHeight="1" x14ac:dyDescent="0.2">
      <c r="A782" s="3" t="s">
        <v>5</v>
      </c>
      <c r="B782" s="3" t="s">
        <v>51</v>
      </c>
      <c r="C782" s="3" t="s">
        <v>53</v>
      </c>
      <c r="D782" s="3" t="s">
        <v>464</v>
      </c>
      <c r="E782" s="5" t="s">
        <v>465</v>
      </c>
      <c r="F782" s="18">
        <v>400155</v>
      </c>
      <c r="G782" s="17">
        <v>50000</v>
      </c>
      <c r="H782" s="17"/>
      <c r="I782" s="40">
        <v>418704</v>
      </c>
      <c r="J782" s="39">
        <f t="shared" si="22"/>
        <v>35940</v>
      </c>
      <c r="K782" s="40">
        <v>454644</v>
      </c>
      <c r="L782" s="40">
        <v>454644</v>
      </c>
      <c r="M782" s="10"/>
    </row>
    <row r="783" spans="1:15" ht="24" hidden="1" customHeight="1" x14ac:dyDescent="0.2">
      <c r="A783" s="3" t="s">
        <v>5</v>
      </c>
      <c r="B783" s="3" t="s">
        <v>51</v>
      </c>
      <c r="C783" s="30" t="s">
        <v>500</v>
      </c>
      <c r="D783" s="3"/>
      <c r="E783" s="31" t="s">
        <v>208</v>
      </c>
      <c r="F783" s="18"/>
      <c r="G783" s="17"/>
      <c r="H783" s="17"/>
      <c r="I783" s="40">
        <f>I784</f>
        <v>0</v>
      </c>
      <c r="J783" s="39">
        <f t="shared" si="22"/>
        <v>0</v>
      </c>
      <c r="K783" s="40">
        <f>K784</f>
        <v>0</v>
      </c>
      <c r="L783" s="40">
        <f>L784</f>
        <v>0</v>
      </c>
      <c r="M783" s="10"/>
    </row>
    <row r="784" spans="1:15" ht="17.100000000000001" hidden="1" customHeight="1" x14ac:dyDescent="0.2">
      <c r="A784" s="3" t="s">
        <v>5</v>
      </c>
      <c r="B784" s="3" t="s">
        <v>51</v>
      </c>
      <c r="C784" s="30" t="s">
        <v>500</v>
      </c>
      <c r="D784" s="3" t="s">
        <v>464</v>
      </c>
      <c r="E784" s="31" t="s">
        <v>465</v>
      </c>
      <c r="F784" s="18"/>
      <c r="G784" s="17"/>
      <c r="H784" s="17"/>
      <c r="I784" s="40"/>
      <c r="J784" s="39">
        <f t="shared" si="22"/>
        <v>0</v>
      </c>
      <c r="K784" s="40"/>
      <c r="L784" s="40"/>
      <c r="M784" s="10"/>
    </row>
    <row r="785" spans="1:26" ht="51" customHeight="1" x14ac:dyDescent="0.2">
      <c r="A785" s="29" t="s">
        <v>5</v>
      </c>
      <c r="B785" s="30" t="s">
        <v>51</v>
      </c>
      <c r="C785" s="30" t="s">
        <v>148</v>
      </c>
      <c r="D785" s="2"/>
      <c r="E785" s="5" t="s">
        <v>272</v>
      </c>
      <c r="F785" s="18"/>
      <c r="G785" s="17"/>
      <c r="H785" s="17"/>
      <c r="I785" s="40">
        <f>I786</f>
        <v>125000</v>
      </c>
      <c r="J785" s="39">
        <f t="shared" si="22"/>
        <v>0</v>
      </c>
      <c r="K785" s="40">
        <f>K786</f>
        <v>125000</v>
      </c>
      <c r="L785" s="40">
        <f>L786</f>
        <v>125000</v>
      </c>
      <c r="M785" s="10"/>
    </row>
    <row r="786" spans="1:26" ht="17.100000000000001" customHeight="1" x14ac:dyDescent="0.2">
      <c r="A786" s="34" t="s">
        <v>5</v>
      </c>
      <c r="B786" s="35" t="s">
        <v>51</v>
      </c>
      <c r="C786" s="35" t="s">
        <v>148</v>
      </c>
      <c r="D786" s="36" t="s">
        <v>192</v>
      </c>
      <c r="E786" s="37" t="s">
        <v>193</v>
      </c>
      <c r="F786" s="18"/>
      <c r="G786" s="17"/>
      <c r="H786" s="17"/>
      <c r="I786" s="40">
        <v>125000</v>
      </c>
      <c r="J786" s="39">
        <f t="shared" si="22"/>
        <v>0</v>
      </c>
      <c r="K786" s="40">
        <v>125000</v>
      </c>
      <c r="L786" s="40">
        <v>125000</v>
      </c>
      <c r="M786" s="10"/>
    </row>
    <row r="787" spans="1:26" ht="18.95" customHeight="1" x14ac:dyDescent="0.2">
      <c r="A787" s="133" t="s">
        <v>54</v>
      </c>
      <c r="B787" s="133"/>
      <c r="C787" s="133"/>
      <c r="D787" s="133"/>
      <c r="E787" s="133"/>
      <c r="F787" s="14" t="e">
        <f>F9+F206+F295+F380+F501+F587+F651</f>
        <v>#VALUE!</v>
      </c>
      <c r="G787" s="12" t="e">
        <f>G9+G206+G295+G380+G501+G587+G651</f>
        <v>#REF!</v>
      </c>
      <c r="H787" s="12" t="e">
        <f>H9+H206+H295+H380+H501+H587+H651</f>
        <v>#REF!</v>
      </c>
      <c r="I787" s="38">
        <f>I9+I206+I295+I380+I501+I587+I651</f>
        <v>359190118</v>
      </c>
      <c r="J787" s="38">
        <f t="shared" si="22"/>
        <v>26065919</v>
      </c>
      <c r="K787" s="38">
        <f>K9+K206+K295+K380+K501+K587+K651</f>
        <v>385256037</v>
      </c>
      <c r="L787" s="38">
        <f>L9+L206+L295+L380+L501+L587+L651</f>
        <v>387413927</v>
      </c>
      <c r="M787" s="10"/>
    </row>
    <row r="788" spans="1:26" ht="20.100000000000001" customHeight="1" x14ac:dyDescent="0.2">
      <c r="A788" s="134"/>
      <c r="B788" s="134"/>
      <c r="C788" s="134"/>
      <c r="D788" s="134"/>
      <c r="E788" s="134"/>
      <c r="M788" s="10"/>
    </row>
    <row r="789" spans="1:26" s="6" customFormat="1" ht="18.75" customHeight="1" x14ac:dyDescent="0.2">
      <c r="A789" s="132"/>
      <c r="B789" s="132"/>
      <c r="C789" s="132"/>
      <c r="D789" s="132"/>
      <c r="E789" s="132"/>
      <c r="F789" s="26"/>
      <c r="G789" s="27"/>
      <c r="H789" s="27"/>
      <c r="I789" s="55"/>
      <c r="J789" s="27"/>
      <c r="K789" s="27"/>
      <c r="L789" s="6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s="6" customFormat="1" ht="18.95" customHeight="1" x14ac:dyDescent="0.2">
      <c r="A790" s="129"/>
      <c r="B790" s="129"/>
      <c r="C790" s="129"/>
      <c r="D790" s="129"/>
      <c r="E790" s="129"/>
      <c r="F790" s="26"/>
      <c r="G790" s="27"/>
      <c r="H790" s="27"/>
      <c r="I790" s="55"/>
      <c r="J790" s="27"/>
      <c r="K790" s="27"/>
      <c r="L790" s="27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s="6" customFormat="1" ht="18" customHeight="1" x14ac:dyDescent="0.2">
      <c r="A791" s="132"/>
      <c r="B791" s="132"/>
      <c r="C791" s="132"/>
      <c r="D791" s="132"/>
      <c r="E791" s="132"/>
      <c r="F791" s="26"/>
      <c r="G791" s="27"/>
      <c r="H791" s="27"/>
      <c r="I791" s="55"/>
      <c r="J791" s="27"/>
      <c r="K791" s="27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s="6" customFormat="1" ht="18.95" customHeight="1" x14ac:dyDescent="0.2">
      <c r="A792" s="129"/>
      <c r="B792" s="129"/>
      <c r="C792" s="129"/>
      <c r="D792" s="129"/>
      <c r="E792" s="129"/>
      <c r="F792" s="26"/>
      <c r="G792" s="27"/>
      <c r="H792" s="27"/>
      <c r="I792" s="55"/>
      <c r="J792" s="27"/>
      <c r="K792" s="27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s="6" customFormat="1" ht="18" customHeight="1" x14ac:dyDescent="0.2">
      <c r="A793" s="125"/>
      <c r="B793" s="125"/>
      <c r="C793" s="124"/>
      <c r="D793" s="124"/>
      <c r="E793" s="124"/>
      <c r="F793" s="26"/>
      <c r="G793" s="27"/>
      <c r="H793" s="27"/>
      <c r="I793" s="55"/>
      <c r="J793" s="27"/>
      <c r="K793" s="27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s="6" customFormat="1" ht="17.100000000000001" customHeight="1" x14ac:dyDescent="0.2">
      <c r="A794" s="126"/>
      <c r="B794" s="126"/>
      <c r="C794" s="124"/>
      <c r="D794" s="124"/>
      <c r="E794" s="124"/>
      <c r="F794" s="26"/>
      <c r="G794" s="27"/>
      <c r="H794" s="27"/>
      <c r="I794" s="55"/>
      <c r="J794" s="27"/>
      <c r="K794" s="27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s="6" customFormat="1" ht="17.100000000000001" customHeight="1" x14ac:dyDescent="0.2">
      <c r="A795" s="124"/>
      <c r="B795" s="124"/>
      <c r="C795" s="124"/>
      <c r="D795" s="124"/>
      <c r="E795" s="124"/>
      <c r="F795" s="26"/>
      <c r="G795" s="27"/>
      <c r="H795" s="27"/>
      <c r="I795" s="55"/>
      <c r="J795" s="27"/>
      <c r="K795" s="27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s="6" customFormat="1" ht="17.100000000000001" customHeight="1" x14ac:dyDescent="0.2">
      <c r="F796" s="26"/>
      <c r="G796" s="27"/>
      <c r="H796" s="27"/>
      <c r="I796" s="55"/>
      <c r="J796" s="27"/>
      <c r="K796" s="27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x14ac:dyDescent="0.2">
      <c r="M797" s="10"/>
    </row>
    <row r="798" spans="1:26" x14ac:dyDescent="0.2">
      <c r="M798" s="10"/>
    </row>
    <row r="799" spans="1:26" x14ac:dyDescent="0.2">
      <c r="M799" s="10"/>
    </row>
    <row r="800" spans="1:26" x14ac:dyDescent="0.2">
      <c r="M800" s="10"/>
    </row>
    <row r="801" spans="13:13" x14ac:dyDescent="0.2">
      <c r="M801" s="10"/>
    </row>
    <row r="802" spans="13:13" x14ac:dyDescent="0.2">
      <c r="M802" s="10"/>
    </row>
    <row r="803" spans="13:13" x14ac:dyDescent="0.2">
      <c r="M803" s="10"/>
    </row>
    <row r="804" spans="13:13" x14ac:dyDescent="0.2">
      <c r="M804" s="10"/>
    </row>
    <row r="805" spans="13:13" x14ac:dyDescent="0.2">
      <c r="M805" s="10"/>
    </row>
    <row r="806" spans="13:13" x14ac:dyDescent="0.2">
      <c r="M806" s="10"/>
    </row>
    <row r="807" spans="13:13" x14ac:dyDescent="0.2">
      <c r="M807" s="10"/>
    </row>
    <row r="808" spans="13:13" x14ac:dyDescent="0.2">
      <c r="M808" s="10"/>
    </row>
    <row r="809" spans="13:13" x14ac:dyDescent="0.2">
      <c r="M809" s="10"/>
    </row>
    <row r="810" spans="13:13" x14ac:dyDescent="0.2">
      <c r="M810" s="10"/>
    </row>
    <row r="811" spans="13:13" x14ac:dyDescent="0.2">
      <c r="M811" s="10"/>
    </row>
    <row r="812" spans="13:13" x14ac:dyDescent="0.2">
      <c r="M812" s="10"/>
    </row>
    <row r="813" spans="13:13" x14ac:dyDescent="0.2">
      <c r="M813" s="10"/>
    </row>
    <row r="814" spans="13:13" x14ac:dyDescent="0.2">
      <c r="M814" s="10"/>
    </row>
    <row r="815" spans="13:13" x14ac:dyDescent="0.2">
      <c r="M815" s="10"/>
    </row>
    <row r="816" spans="13:13" x14ac:dyDescent="0.2">
      <c r="M816" s="10"/>
    </row>
    <row r="817" spans="13:13" x14ac:dyDescent="0.2">
      <c r="M817" s="10"/>
    </row>
    <row r="818" spans="13:13" x14ac:dyDescent="0.2">
      <c r="M818" s="10"/>
    </row>
    <row r="819" spans="13:13" x14ac:dyDescent="0.2">
      <c r="M819" s="10"/>
    </row>
    <row r="820" spans="13:13" x14ac:dyDescent="0.2">
      <c r="M820" s="10"/>
    </row>
    <row r="821" spans="13:13" x14ac:dyDescent="0.2">
      <c r="M821" s="10"/>
    </row>
    <row r="822" spans="13:13" x14ac:dyDescent="0.2">
      <c r="M822" s="10"/>
    </row>
    <row r="823" spans="13:13" x14ac:dyDescent="0.2">
      <c r="M823" s="10"/>
    </row>
    <row r="824" spans="13:13" x14ac:dyDescent="0.2">
      <c r="M824" s="10"/>
    </row>
    <row r="825" spans="13:13" x14ac:dyDescent="0.2">
      <c r="M825" s="10"/>
    </row>
    <row r="826" spans="13:13" x14ac:dyDescent="0.2">
      <c r="M826" s="10"/>
    </row>
    <row r="827" spans="13:13" x14ac:dyDescent="0.2">
      <c r="M827" s="10"/>
    </row>
    <row r="828" spans="13:13" x14ac:dyDescent="0.2">
      <c r="M828" s="10"/>
    </row>
    <row r="829" spans="13:13" x14ac:dyDescent="0.2">
      <c r="M829" s="10"/>
    </row>
    <row r="830" spans="13:13" x14ac:dyDescent="0.2">
      <c r="M830" s="10"/>
    </row>
    <row r="831" spans="13:13" x14ac:dyDescent="0.2">
      <c r="M831" s="10"/>
    </row>
    <row r="832" spans="13:13" x14ac:dyDescent="0.2">
      <c r="M832" s="10"/>
    </row>
    <row r="833" spans="13:13" x14ac:dyDescent="0.2">
      <c r="M833" s="10"/>
    </row>
    <row r="834" spans="13:13" x14ac:dyDescent="0.2">
      <c r="M834" s="10"/>
    </row>
    <row r="835" spans="13:13" x14ac:dyDescent="0.2">
      <c r="M835" s="10"/>
    </row>
    <row r="836" spans="13:13" x14ac:dyDescent="0.2">
      <c r="M836" s="10"/>
    </row>
    <row r="837" spans="13:13" x14ac:dyDescent="0.2">
      <c r="M837" s="10"/>
    </row>
    <row r="838" spans="13:13" x14ac:dyDescent="0.2">
      <c r="M838" s="10"/>
    </row>
    <row r="839" spans="13:13" x14ac:dyDescent="0.2">
      <c r="M839" s="10"/>
    </row>
    <row r="840" spans="13:13" x14ac:dyDescent="0.2">
      <c r="M840" s="10"/>
    </row>
    <row r="841" spans="13:13" x14ac:dyDescent="0.2">
      <c r="M841" s="10"/>
    </row>
    <row r="842" spans="13:13" x14ac:dyDescent="0.2">
      <c r="M842" s="10"/>
    </row>
    <row r="843" spans="13:13" x14ac:dyDescent="0.2">
      <c r="M843" s="10"/>
    </row>
    <row r="844" spans="13:13" x14ac:dyDescent="0.2">
      <c r="M844" s="10"/>
    </row>
    <row r="845" spans="13:13" x14ac:dyDescent="0.2">
      <c r="M845" s="10"/>
    </row>
    <row r="846" spans="13:13" x14ac:dyDescent="0.2">
      <c r="M846" s="10"/>
    </row>
    <row r="847" spans="13:13" x14ac:dyDescent="0.2">
      <c r="M847" s="10"/>
    </row>
    <row r="848" spans="13:13" x14ac:dyDescent="0.2">
      <c r="M848" s="10"/>
    </row>
    <row r="849" spans="13:13" x14ac:dyDescent="0.2">
      <c r="M849" s="10"/>
    </row>
    <row r="850" spans="13:13" x14ac:dyDescent="0.2">
      <c r="M850" s="10"/>
    </row>
    <row r="851" spans="13:13" x14ac:dyDescent="0.2">
      <c r="M851" s="10"/>
    </row>
    <row r="852" spans="13:13" x14ac:dyDescent="0.2">
      <c r="M852" s="10"/>
    </row>
    <row r="853" spans="13:13" x14ac:dyDescent="0.2">
      <c r="M853" s="10"/>
    </row>
    <row r="854" spans="13:13" x14ac:dyDescent="0.2">
      <c r="M854" s="10"/>
    </row>
    <row r="855" spans="13:13" x14ac:dyDescent="0.2">
      <c r="M855" s="10"/>
    </row>
    <row r="856" spans="13:13" x14ac:dyDescent="0.2">
      <c r="M856" s="10"/>
    </row>
    <row r="857" spans="13:13" x14ac:dyDescent="0.2">
      <c r="M857" s="10"/>
    </row>
    <row r="858" spans="13:13" x14ac:dyDescent="0.2">
      <c r="M858" s="10"/>
    </row>
    <row r="859" spans="13:13" x14ac:dyDescent="0.2">
      <c r="M859" s="10"/>
    </row>
    <row r="860" spans="13:13" x14ac:dyDescent="0.2">
      <c r="M860" s="10"/>
    </row>
    <row r="861" spans="13:13" x14ac:dyDescent="0.2">
      <c r="M861" s="10"/>
    </row>
    <row r="862" spans="13:13" x14ac:dyDescent="0.2">
      <c r="M862" s="10"/>
    </row>
    <row r="863" spans="13:13" x14ac:dyDescent="0.2">
      <c r="M863" s="10"/>
    </row>
    <row r="864" spans="13:13" x14ac:dyDescent="0.2">
      <c r="M864" s="10"/>
    </row>
    <row r="865" spans="13:13" x14ac:dyDescent="0.2">
      <c r="M865" s="10"/>
    </row>
    <row r="866" spans="13:13" x14ac:dyDescent="0.2">
      <c r="M866" s="10"/>
    </row>
    <row r="867" spans="13:13" x14ac:dyDescent="0.2">
      <c r="M867" s="10"/>
    </row>
    <row r="868" spans="13:13" x14ac:dyDescent="0.2">
      <c r="M868" s="10"/>
    </row>
    <row r="869" spans="13:13" x14ac:dyDescent="0.2">
      <c r="M869" s="10"/>
    </row>
    <row r="870" spans="13:13" x14ac:dyDescent="0.2">
      <c r="M870" s="10"/>
    </row>
    <row r="871" spans="13:13" x14ac:dyDescent="0.2">
      <c r="M871" s="10"/>
    </row>
    <row r="872" spans="13:13" x14ac:dyDescent="0.2">
      <c r="M872" s="10"/>
    </row>
    <row r="873" spans="13:13" x14ac:dyDescent="0.2">
      <c r="M873" s="10"/>
    </row>
    <row r="874" spans="13:13" x14ac:dyDescent="0.2">
      <c r="M874" s="10"/>
    </row>
    <row r="875" spans="13:13" x14ac:dyDescent="0.2">
      <c r="M875" s="10"/>
    </row>
    <row r="876" spans="13:13" x14ac:dyDescent="0.2">
      <c r="M876" s="10"/>
    </row>
    <row r="877" spans="13:13" x14ac:dyDescent="0.2">
      <c r="M877" s="10"/>
    </row>
    <row r="878" spans="13:13" x14ac:dyDescent="0.2">
      <c r="M878" s="10"/>
    </row>
    <row r="879" spans="13:13" x14ac:dyDescent="0.2">
      <c r="M879" s="10"/>
    </row>
    <row r="880" spans="13:13" x14ac:dyDescent="0.2">
      <c r="M880" s="10"/>
    </row>
    <row r="881" spans="13:13" x14ac:dyDescent="0.2">
      <c r="M881" s="10"/>
    </row>
    <row r="882" spans="13:13" x14ac:dyDescent="0.2">
      <c r="M882" s="10"/>
    </row>
    <row r="883" spans="13:13" x14ac:dyDescent="0.2">
      <c r="M883" s="10"/>
    </row>
    <row r="884" spans="13:13" x14ac:dyDescent="0.2">
      <c r="M884" s="10"/>
    </row>
    <row r="885" spans="13:13" x14ac:dyDescent="0.2">
      <c r="M885" s="10"/>
    </row>
    <row r="886" spans="13:13" x14ac:dyDescent="0.2">
      <c r="M886" s="10"/>
    </row>
    <row r="887" spans="13:13" x14ac:dyDescent="0.2">
      <c r="M887" s="10"/>
    </row>
    <row r="888" spans="13:13" x14ac:dyDescent="0.2">
      <c r="M888" s="10"/>
    </row>
    <row r="889" spans="13:13" x14ac:dyDescent="0.2">
      <c r="M889" s="10"/>
    </row>
    <row r="890" spans="13:13" x14ac:dyDescent="0.2">
      <c r="M890" s="10"/>
    </row>
    <row r="891" spans="13:13" x14ac:dyDescent="0.2">
      <c r="M891" s="10"/>
    </row>
    <row r="892" spans="13:13" x14ac:dyDescent="0.2">
      <c r="M892" s="10"/>
    </row>
    <row r="893" spans="13:13" x14ac:dyDescent="0.2">
      <c r="M893" s="10"/>
    </row>
    <row r="894" spans="13:13" x14ac:dyDescent="0.2">
      <c r="M894" s="10"/>
    </row>
    <row r="895" spans="13:13" x14ac:dyDescent="0.2">
      <c r="M895" s="10"/>
    </row>
    <row r="896" spans="13:13" x14ac:dyDescent="0.2">
      <c r="M896" s="10"/>
    </row>
    <row r="897" spans="13:13" x14ac:dyDescent="0.2">
      <c r="M897" s="10"/>
    </row>
    <row r="898" spans="13:13" x14ac:dyDescent="0.2">
      <c r="M898" s="10"/>
    </row>
    <row r="899" spans="13:13" x14ac:dyDescent="0.2">
      <c r="M899" s="10"/>
    </row>
    <row r="900" spans="13:13" x14ac:dyDescent="0.2">
      <c r="M900" s="10"/>
    </row>
    <row r="901" spans="13:13" x14ac:dyDescent="0.2">
      <c r="M901" s="10"/>
    </row>
    <row r="902" spans="13:13" x14ac:dyDescent="0.2">
      <c r="M902" s="10"/>
    </row>
    <row r="903" spans="13:13" x14ac:dyDescent="0.2">
      <c r="M903" s="10"/>
    </row>
    <row r="904" spans="13:13" x14ac:dyDescent="0.2">
      <c r="M904" s="10"/>
    </row>
    <row r="905" spans="13:13" x14ac:dyDescent="0.2">
      <c r="M905" s="10"/>
    </row>
    <row r="906" spans="13:13" x14ac:dyDescent="0.2">
      <c r="M906" s="10"/>
    </row>
    <row r="907" spans="13:13" x14ac:dyDescent="0.2">
      <c r="M907" s="10"/>
    </row>
    <row r="908" spans="13:13" x14ac:dyDescent="0.2">
      <c r="M908" s="10"/>
    </row>
    <row r="909" spans="13:13" x14ac:dyDescent="0.2">
      <c r="M909" s="10"/>
    </row>
    <row r="910" spans="13:13" x14ac:dyDescent="0.2">
      <c r="M910" s="10"/>
    </row>
    <row r="911" spans="13:13" x14ac:dyDescent="0.2">
      <c r="M911" s="10"/>
    </row>
    <row r="912" spans="13:13" x14ac:dyDescent="0.2">
      <c r="M912" s="10"/>
    </row>
    <row r="913" spans="13:13" x14ac:dyDescent="0.2">
      <c r="M913" s="10"/>
    </row>
    <row r="914" spans="13:13" x14ac:dyDescent="0.2">
      <c r="M914" s="10"/>
    </row>
    <row r="915" spans="13:13" x14ac:dyDescent="0.2">
      <c r="M915" s="10"/>
    </row>
    <row r="916" spans="13:13" x14ac:dyDescent="0.2">
      <c r="M916" s="10"/>
    </row>
    <row r="917" spans="13:13" x14ac:dyDescent="0.2">
      <c r="M917" s="10"/>
    </row>
    <row r="918" spans="13:13" x14ac:dyDescent="0.2">
      <c r="M918" s="10"/>
    </row>
    <row r="919" spans="13:13" x14ac:dyDescent="0.2">
      <c r="M919" s="10"/>
    </row>
    <row r="920" spans="13:13" x14ac:dyDescent="0.2">
      <c r="M920" s="10"/>
    </row>
    <row r="921" spans="13:13" x14ac:dyDescent="0.2">
      <c r="M921" s="10"/>
    </row>
    <row r="922" spans="13:13" x14ac:dyDescent="0.2">
      <c r="M922" s="10"/>
    </row>
    <row r="923" spans="13:13" x14ac:dyDescent="0.2">
      <c r="M923" s="10"/>
    </row>
    <row r="924" spans="13:13" x14ac:dyDescent="0.2">
      <c r="M924" s="10"/>
    </row>
    <row r="925" spans="13:13" x14ac:dyDescent="0.2">
      <c r="M925" s="10"/>
    </row>
    <row r="926" spans="13:13" x14ac:dyDescent="0.2">
      <c r="M926" s="10"/>
    </row>
    <row r="927" spans="13:13" x14ac:dyDescent="0.2">
      <c r="M927" s="10"/>
    </row>
    <row r="928" spans="13:13" x14ac:dyDescent="0.2">
      <c r="M928" s="10"/>
    </row>
    <row r="929" spans="13:13" x14ac:dyDescent="0.2">
      <c r="M929" s="10"/>
    </row>
    <row r="930" spans="13:13" x14ac:dyDescent="0.2">
      <c r="M930" s="10"/>
    </row>
    <row r="931" spans="13:13" x14ac:dyDescent="0.2">
      <c r="M931" s="10"/>
    </row>
    <row r="932" spans="13:13" x14ac:dyDescent="0.2">
      <c r="M932" s="10"/>
    </row>
    <row r="933" spans="13:13" x14ac:dyDescent="0.2">
      <c r="M933" s="10"/>
    </row>
    <row r="934" spans="13:13" x14ac:dyDescent="0.2">
      <c r="M934" s="10"/>
    </row>
    <row r="935" spans="13:13" x14ac:dyDescent="0.2">
      <c r="M935" s="10"/>
    </row>
    <row r="936" spans="13:13" x14ac:dyDescent="0.2">
      <c r="M936" s="10"/>
    </row>
    <row r="937" spans="13:13" x14ac:dyDescent="0.2">
      <c r="M937" s="10"/>
    </row>
    <row r="938" spans="13:13" x14ac:dyDescent="0.2">
      <c r="M938" s="10"/>
    </row>
    <row r="939" spans="13:13" x14ac:dyDescent="0.2">
      <c r="M939" s="10"/>
    </row>
    <row r="940" spans="13:13" x14ac:dyDescent="0.2">
      <c r="M940" s="10"/>
    </row>
    <row r="941" spans="13:13" x14ac:dyDescent="0.2">
      <c r="M941" s="10"/>
    </row>
    <row r="942" spans="13:13" x14ac:dyDescent="0.2">
      <c r="M942" s="10"/>
    </row>
    <row r="943" spans="13:13" x14ac:dyDescent="0.2">
      <c r="M943" s="10"/>
    </row>
    <row r="944" spans="13:13" x14ac:dyDescent="0.2">
      <c r="M944" s="10"/>
    </row>
    <row r="945" spans="13:13" x14ac:dyDescent="0.2">
      <c r="M945" s="10"/>
    </row>
    <row r="946" spans="13:13" x14ac:dyDescent="0.2">
      <c r="M946" s="10"/>
    </row>
    <row r="947" spans="13:13" x14ac:dyDescent="0.2">
      <c r="M947" s="10"/>
    </row>
    <row r="948" spans="13:13" x14ac:dyDescent="0.2">
      <c r="M948" s="10"/>
    </row>
    <row r="949" spans="13:13" x14ac:dyDescent="0.2">
      <c r="M949" s="10"/>
    </row>
    <row r="950" spans="13:13" x14ac:dyDescent="0.2">
      <c r="M950" s="10"/>
    </row>
    <row r="951" spans="13:13" x14ac:dyDescent="0.2">
      <c r="M951" s="10"/>
    </row>
    <row r="952" spans="13:13" x14ac:dyDescent="0.2">
      <c r="M952" s="10"/>
    </row>
    <row r="953" spans="13:13" x14ac:dyDescent="0.2">
      <c r="M953" s="10"/>
    </row>
    <row r="954" spans="13:13" x14ac:dyDescent="0.2">
      <c r="M954" s="10"/>
    </row>
    <row r="955" spans="13:13" x14ac:dyDescent="0.2">
      <c r="M955" s="10"/>
    </row>
    <row r="956" spans="13:13" x14ac:dyDescent="0.2">
      <c r="M956" s="10"/>
    </row>
    <row r="957" spans="13:13" x14ac:dyDescent="0.2">
      <c r="M957" s="10"/>
    </row>
    <row r="958" spans="13:13" x14ac:dyDescent="0.2">
      <c r="M958" s="10"/>
    </row>
    <row r="959" spans="13:13" x14ac:dyDescent="0.2">
      <c r="M959" s="10"/>
    </row>
    <row r="960" spans="13:13" x14ac:dyDescent="0.2">
      <c r="M960" s="10"/>
    </row>
    <row r="961" spans="13:13" x14ac:dyDescent="0.2">
      <c r="M961" s="10"/>
    </row>
    <row r="962" spans="13:13" x14ac:dyDescent="0.2">
      <c r="M962" s="10"/>
    </row>
    <row r="963" spans="13:13" x14ac:dyDescent="0.2">
      <c r="M963" s="10"/>
    </row>
    <row r="964" spans="13:13" x14ac:dyDescent="0.2">
      <c r="M964" s="10"/>
    </row>
    <row r="965" spans="13:13" x14ac:dyDescent="0.2">
      <c r="M965" s="10"/>
    </row>
    <row r="966" spans="13:13" x14ac:dyDescent="0.2">
      <c r="M966" s="10"/>
    </row>
    <row r="967" spans="13:13" x14ac:dyDescent="0.2">
      <c r="M967" s="10"/>
    </row>
    <row r="968" spans="13:13" x14ac:dyDescent="0.2">
      <c r="M968" s="10"/>
    </row>
    <row r="969" spans="13:13" x14ac:dyDescent="0.2">
      <c r="M969" s="10"/>
    </row>
    <row r="970" spans="13:13" x14ac:dyDescent="0.2">
      <c r="M970" s="10"/>
    </row>
    <row r="971" spans="13:13" x14ac:dyDescent="0.2">
      <c r="M971" s="10"/>
    </row>
    <row r="972" spans="13:13" x14ac:dyDescent="0.2">
      <c r="M972" s="10"/>
    </row>
    <row r="973" spans="13:13" x14ac:dyDescent="0.2">
      <c r="M973" s="10"/>
    </row>
    <row r="974" spans="13:13" x14ac:dyDescent="0.2">
      <c r="M974" s="10"/>
    </row>
    <row r="975" spans="13:13" x14ac:dyDescent="0.2">
      <c r="M975" s="10"/>
    </row>
    <row r="976" spans="13:13" x14ac:dyDescent="0.2">
      <c r="M976" s="10"/>
    </row>
    <row r="977" spans="13:13" x14ac:dyDescent="0.2">
      <c r="M977" s="10"/>
    </row>
    <row r="978" spans="13:13" x14ac:dyDescent="0.2">
      <c r="M978" s="10"/>
    </row>
    <row r="979" spans="13:13" x14ac:dyDescent="0.2">
      <c r="M979" s="10"/>
    </row>
    <row r="980" spans="13:13" x14ac:dyDescent="0.2">
      <c r="M980" s="10"/>
    </row>
    <row r="981" spans="13:13" x14ac:dyDescent="0.2">
      <c r="M981" s="10"/>
    </row>
    <row r="982" spans="13:13" x14ac:dyDescent="0.2">
      <c r="M982" s="10"/>
    </row>
    <row r="983" spans="13:13" x14ac:dyDescent="0.2">
      <c r="M983" s="10"/>
    </row>
    <row r="984" spans="13:13" x14ac:dyDescent="0.2">
      <c r="M984" s="10"/>
    </row>
    <row r="985" spans="13:13" x14ac:dyDescent="0.2">
      <c r="M985" s="10"/>
    </row>
    <row r="986" spans="13:13" x14ac:dyDescent="0.2">
      <c r="M986" s="10"/>
    </row>
    <row r="987" spans="13:13" x14ac:dyDescent="0.2">
      <c r="M987" s="10"/>
    </row>
    <row r="988" spans="13:13" x14ac:dyDescent="0.2">
      <c r="M988" s="10"/>
    </row>
    <row r="989" spans="13:13" x14ac:dyDescent="0.2">
      <c r="M989" s="10"/>
    </row>
    <row r="990" spans="13:13" x14ac:dyDescent="0.2">
      <c r="M990" s="10"/>
    </row>
    <row r="991" spans="13:13" x14ac:dyDescent="0.2">
      <c r="M991" s="10"/>
    </row>
    <row r="992" spans="13:13" x14ac:dyDescent="0.2">
      <c r="M992" s="10"/>
    </row>
    <row r="993" spans="13:13" x14ac:dyDescent="0.2">
      <c r="M993" s="10"/>
    </row>
    <row r="994" spans="13:13" x14ac:dyDescent="0.2">
      <c r="M994" s="10"/>
    </row>
    <row r="995" spans="13:13" x14ac:dyDescent="0.2">
      <c r="M995" s="10"/>
    </row>
    <row r="996" spans="13:13" x14ac:dyDescent="0.2">
      <c r="M996" s="10"/>
    </row>
    <row r="997" spans="13:13" x14ac:dyDescent="0.2">
      <c r="M997" s="10"/>
    </row>
    <row r="998" spans="13:13" x14ac:dyDescent="0.2">
      <c r="M998" s="10"/>
    </row>
    <row r="999" spans="13:13" x14ac:dyDescent="0.2">
      <c r="M999" s="10"/>
    </row>
    <row r="1000" spans="13:13" x14ac:dyDescent="0.2">
      <c r="M1000" s="10"/>
    </row>
    <row r="1001" spans="13:13" x14ac:dyDescent="0.2">
      <c r="M1001" s="10"/>
    </row>
    <row r="1002" spans="13:13" x14ac:dyDescent="0.2">
      <c r="M1002" s="10"/>
    </row>
    <row r="1003" spans="13:13" x14ac:dyDescent="0.2">
      <c r="M1003" s="10"/>
    </row>
    <row r="1004" spans="13:13" x14ac:dyDescent="0.2">
      <c r="M1004" s="10"/>
    </row>
    <row r="1005" spans="13:13" x14ac:dyDescent="0.2">
      <c r="M1005" s="10"/>
    </row>
    <row r="1006" spans="13:13" x14ac:dyDescent="0.2">
      <c r="M1006" s="10"/>
    </row>
    <row r="1007" spans="13:13" x14ac:dyDescent="0.2">
      <c r="M1007" s="10"/>
    </row>
    <row r="1008" spans="13:13" x14ac:dyDescent="0.2">
      <c r="M1008" s="10"/>
    </row>
    <row r="1009" spans="13:13" x14ac:dyDescent="0.2">
      <c r="M1009" s="10"/>
    </row>
    <row r="1010" spans="13:13" x14ac:dyDescent="0.2">
      <c r="M1010" s="10"/>
    </row>
    <row r="1011" spans="13:13" x14ac:dyDescent="0.2">
      <c r="M1011" s="10"/>
    </row>
    <row r="1012" spans="13:13" x14ac:dyDescent="0.2">
      <c r="M1012" s="10"/>
    </row>
    <row r="1013" spans="13:13" x14ac:dyDescent="0.2">
      <c r="M1013" s="10"/>
    </row>
    <row r="1014" spans="13:13" x14ac:dyDescent="0.2">
      <c r="M1014" s="10"/>
    </row>
    <row r="1015" spans="13:13" x14ac:dyDescent="0.2">
      <c r="M1015" s="10"/>
    </row>
    <row r="1016" spans="13:13" x14ac:dyDescent="0.2">
      <c r="M1016" s="10"/>
    </row>
    <row r="1017" spans="13:13" x14ac:dyDescent="0.2">
      <c r="M1017" s="10"/>
    </row>
    <row r="1018" spans="13:13" x14ac:dyDescent="0.2">
      <c r="M1018" s="10"/>
    </row>
    <row r="1019" spans="13:13" x14ac:dyDescent="0.2">
      <c r="M1019" s="10"/>
    </row>
    <row r="1020" spans="13:13" x14ac:dyDescent="0.2">
      <c r="M1020" s="10"/>
    </row>
    <row r="1021" spans="13:13" x14ac:dyDescent="0.2">
      <c r="M1021" s="10"/>
    </row>
    <row r="1022" spans="13:13" x14ac:dyDescent="0.2">
      <c r="M1022" s="10"/>
    </row>
    <row r="1023" spans="13:13" x14ac:dyDescent="0.2">
      <c r="M1023" s="10"/>
    </row>
    <row r="1024" spans="13:13" x14ac:dyDescent="0.2">
      <c r="M1024" s="10"/>
    </row>
    <row r="1025" spans="13:13" x14ac:dyDescent="0.2">
      <c r="M1025" s="10"/>
    </row>
    <row r="1026" spans="13:13" x14ac:dyDescent="0.2">
      <c r="M1026" s="10"/>
    </row>
    <row r="1027" spans="13:13" x14ac:dyDescent="0.2">
      <c r="M1027" s="10"/>
    </row>
    <row r="1028" spans="13:13" x14ac:dyDescent="0.2">
      <c r="M1028" s="10"/>
    </row>
    <row r="1029" spans="13:13" x14ac:dyDescent="0.2">
      <c r="M1029" s="10"/>
    </row>
    <row r="1030" spans="13:13" x14ac:dyDescent="0.2">
      <c r="M1030" s="10"/>
    </row>
    <row r="1031" spans="13:13" x14ac:dyDescent="0.2">
      <c r="M1031" s="10"/>
    </row>
    <row r="1032" spans="13:13" x14ac:dyDescent="0.2">
      <c r="M1032" s="10"/>
    </row>
    <row r="1033" spans="13:13" x14ac:dyDescent="0.2">
      <c r="M1033" s="10"/>
    </row>
    <row r="1034" spans="13:13" x14ac:dyDescent="0.2">
      <c r="M1034" s="10"/>
    </row>
    <row r="1035" spans="13:13" x14ac:dyDescent="0.2">
      <c r="M1035" s="10"/>
    </row>
    <row r="1036" spans="13:13" x14ac:dyDescent="0.2">
      <c r="M1036" s="10"/>
    </row>
    <row r="1037" spans="13:13" x14ac:dyDescent="0.2">
      <c r="M1037" s="10"/>
    </row>
    <row r="1038" spans="13:13" x14ac:dyDescent="0.2">
      <c r="M1038" s="10"/>
    </row>
    <row r="1039" spans="13:13" x14ac:dyDescent="0.2">
      <c r="M1039" s="10"/>
    </row>
    <row r="1040" spans="13:13" x14ac:dyDescent="0.2">
      <c r="M1040" s="10"/>
    </row>
    <row r="1041" spans="13:13" x14ac:dyDescent="0.2">
      <c r="M1041" s="10"/>
    </row>
    <row r="1042" spans="13:13" x14ac:dyDescent="0.2">
      <c r="M1042" s="10"/>
    </row>
    <row r="1043" spans="13:13" x14ac:dyDescent="0.2">
      <c r="M1043" s="10"/>
    </row>
    <row r="1044" spans="13:13" x14ac:dyDescent="0.2">
      <c r="M1044" s="10"/>
    </row>
    <row r="1045" spans="13:13" x14ac:dyDescent="0.2">
      <c r="M1045" s="10"/>
    </row>
    <row r="1046" spans="13:13" x14ac:dyDescent="0.2">
      <c r="M1046" s="10"/>
    </row>
    <row r="1047" spans="13:13" x14ac:dyDescent="0.2">
      <c r="M1047" s="10"/>
    </row>
    <row r="1048" spans="13:13" x14ac:dyDescent="0.2">
      <c r="M1048" s="10"/>
    </row>
    <row r="1049" spans="13:13" x14ac:dyDescent="0.2">
      <c r="M1049" s="10"/>
    </row>
    <row r="1050" spans="13:13" x14ac:dyDescent="0.2">
      <c r="M1050" s="10"/>
    </row>
    <row r="1051" spans="13:13" x14ac:dyDescent="0.2">
      <c r="M1051" s="10"/>
    </row>
    <row r="1052" spans="13:13" x14ac:dyDescent="0.2">
      <c r="M1052" s="10"/>
    </row>
    <row r="1053" spans="13:13" x14ac:dyDescent="0.2">
      <c r="M1053" s="10"/>
    </row>
    <row r="1054" spans="13:13" x14ac:dyDescent="0.2">
      <c r="M1054" s="10"/>
    </row>
    <row r="1055" spans="13:13" x14ac:dyDescent="0.2">
      <c r="M1055" s="10"/>
    </row>
    <row r="1056" spans="13:13" x14ac:dyDescent="0.2">
      <c r="M1056" s="10"/>
    </row>
    <row r="1057" spans="13:13" x14ac:dyDescent="0.2">
      <c r="M1057" s="10"/>
    </row>
    <row r="1058" spans="13:13" x14ac:dyDescent="0.2">
      <c r="M1058" s="10"/>
    </row>
    <row r="1059" spans="13:13" x14ac:dyDescent="0.2">
      <c r="M1059" s="10"/>
    </row>
    <row r="1060" spans="13:13" x14ac:dyDescent="0.2">
      <c r="M1060" s="10"/>
    </row>
    <row r="1061" spans="13:13" x14ac:dyDescent="0.2">
      <c r="M1061" s="10"/>
    </row>
    <row r="1062" spans="13:13" x14ac:dyDescent="0.2">
      <c r="M1062" s="10"/>
    </row>
    <row r="1063" spans="13:13" x14ac:dyDescent="0.2">
      <c r="M1063" s="10"/>
    </row>
    <row r="1064" spans="13:13" x14ac:dyDescent="0.2">
      <c r="M1064" s="10"/>
    </row>
    <row r="1065" spans="13:13" x14ac:dyDescent="0.2">
      <c r="M1065" s="10"/>
    </row>
    <row r="1066" spans="13:13" x14ac:dyDescent="0.2">
      <c r="M1066" s="10"/>
    </row>
    <row r="1067" spans="13:13" x14ac:dyDescent="0.2">
      <c r="M1067" s="10"/>
    </row>
    <row r="1068" spans="13:13" x14ac:dyDescent="0.2">
      <c r="M1068" s="10"/>
    </row>
    <row r="1069" spans="13:13" x14ac:dyDescent="0.2">
      <c r="M1069" s="10"/>
    </row>
    <row r="1070" spans="13:13" x14ac:dyDescent="0.2">
      <c r="M1070" s="10"/>
    </row>
    <row r="1071" spans="13:13" x14ac:dyDescent="0.2">
      <c r="M1071" s="10"/>
    </row>
    <row r="1072" spans="13:13" x14ac:dyDescent="0.2">
      <c r="M1072" s="10"/>
    </row>
  </sheetData>
  <mergeCells count="17">
    <mergeCell ref="A792:E792"/>
    <mergeCell ref="A791:E791"/>
    <mergeCell ref="A787:E787"/>
    <mergeCell ref="A788:E788"/>
    <mergeCell ref="A789:E789"/>
    <mergeCell ref="A2:L2"/>
    <mergeCell ref="A1:L1"/>
    <mergeCell ref="A3:L3"/>
    <mergeCell ref="A4:L4"/>
    <mergeCell ref="A790:E790"/>
    <mergeCell ref="A5:L5"/>
    <mergeCell ref="A6:L6"/>
    <mergeCell ref="A795:E795"/>
    <mergeCell ref="A793:B793"/>
    <mergeCell ref="C793:E793"/>
    <mergeCell ref="A794:B794"/>
    <mergeCell ref="C794:E794"/>
  </mergeCells>
  <phoneticPr fontId="0" type="noConversion"/>
  <pageMargins left="0.59055118110236227" right="0" top="0" bottom="0" header="0.51181102362204722" footer="0.51181102362204722"/>
  <pageSetup paperSize="9" scale="8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2015 (2)</vt:lpstr>
      <vt:lpstr>2015</vt:lpstr>
      <vt:lpstr>2012-2013</vt:lpstr>
      <vt:lpstr>'2012-2013'!Область_печати</vt:lpstr>
      <vt:lpstr>'2015'!Область_печати</vt:lpstr>
      <vt:lpstr>'2015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</dc:creator>
  <cp:lastModifiedBy>sveta</cp:lastModifiedBy>
  <cp:lastPrinted>2015-05-18T08:33:17Z</cp:lastPrinted>
  <dcterms:created xsi:type="dcterms:W3CDTF">2008-09-23T08:43:48Z</dcterms:created>
  <dcterms:modified xsi:type="dcterms:W3CDTF">2015-06-15T07:44:07Z</dcterms:modified>
</cp:coreProperties>
</file>