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<sst xmlns="http://schemas.openxmlformats.org/spreadsheetml/2006/main" count="1126" uniqueCount="482">
  <si>
    <t>ОТЧЕТ ОБ ИСПОЛНЕНИИ БЮДЖЕТА</t>
  </si>
  <si>
    <t>КОДЫ</t>
  </si>
  <si>
    <t xml:space="preserve">Форма по ОКУД </t>
  </si>
  <si>
    <t>0503117</t>
  </si>
  <si>
    <t>на 1 октября 2016 г.</t>
  </si>
  <si>
    <t xml:space="preserve">Дата </t>
  </si>
  <si>
    <t>Наименование финансового органа</t>
  </si>
  <si>
    <t>Финансовое управление Администрации Муниципального образования "Усть-Коксинский район" Республики Алтай</t>
  </si>
  <si>
    <t xml:space="preserve">по ОКПО </t>
  </si>
  <si>
    <t xml:space="preserve">Глава по БК </t>
  </si>
  <si>
    <t/>
  </si>
  <si>
    <t>092</t>
  </si>
  <si>
    <t>Наименование публично-правового образования</t>
  </si>
  <si>
    <t>МО "Усть-Коксинский район" РА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</si>
  <si>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</si>
  <si>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</si>
  <si>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</si>
  <si>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</si>
  <si>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</si>
  <si>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</si>
  <si>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</si>
  <si>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</si>
  <si>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</si>
  <si>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</si>
  <si>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</si>
  <si>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</si>
  <si>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</si>
  <si>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</si>
  <si>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</si>
  <si>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</si>
  <si>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</si>
  <si>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</si>
  <si>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</si>
  <si>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</si>
  <si>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</si>
  <si>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</si>
  <si>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</si>
  <si>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</si>
  <si>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011 10807084 01 0000 110</t>
  </si>
  <si>
    <t>Государственная пошлина за выдачу разрешения на установку рекламной конструкции</t>
  </si>
  <si>
    <t>011 10807150 01 0000 110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</si>
  <si>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</si>
  <si>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011 11105013 10 0000 120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</si>
  <si>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</si>
  <si>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011 11105035 05 0000 120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</si>
  <si>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</si>
  <si>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011 11109045 05 0000 120</t>
  </si>
  <si>
    <t>Прочие доходы от оказания платных услуг (работ) получателями средств бюджетов муниципальных районов</t>
  </si>
  <si>
    <t>011 11301995 05 0000 130</t>
  </si>
  <si>
    <t>Прочие доходы от компенсации затрат бюджетов муниципальных районов</t>
  </si>
  <si>
    <t>011 11302995 05 0000 130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</si>
  <si>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</si>
  <si>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</si>
  <si>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011 11406013 10 0000 430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</si>
  <si>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</si>
  <si>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011 11690050 05 0000 140</t>
  </si>
  <si>
    <t>Невыясненные поступления, зачисляемые в бюджеты муниципальных районов</t>
  </si>
  <si>
    <t>011 11701050 05 0000 180</t>
  </si>
  <si>
    <t>Плата за выбросы загрязняющих веществ в атмосферный воздух стационарными объектами7</t>
  </si>
  <si>
    <t>048 11201010 01 0000 120</t>
  </si>
  <si>
    <t>Плата за выбросы загрязняющих веществ в атмосферный воздух передвижными объектами</t>
  </si>
  <si>
    <t>048 11201020 01 0000 120</t>
  </si>
  <si>
    <t>Плата за сбросы загрязняющих веществ в водные объекты</t>
  </si>
  <si>
    <t>048 11201030 01 0000 120</t>
  </si>
  <si>
    <t>Плата за размещение отходов производства и потребления</t>
  </si>
  <si>
    <t>048 11201040 01 0000 120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</si>
  <si>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</si>
  <si>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048 11625020 01 0000 140</t>
  </si>
  <si>
    <t>Доходы бюджетов муниципальных районов от возврата бюджетными учреждениями остатков субсидий прошлых лет</t>
  </si>
  <si>
    <t>057 21805010 05 0000 180</t>
  </si>
  <si>
    <t>074 11302995 05 0000 130</t>
  </si>
  <si>
    <t>074 21805010 05 0000 180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</si>
  <si>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</si>
  <si>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081 11643000 01 0000 140</t>
  </si>
  <si>
    <t>081 11690050 05 0000 140</t>
  </si>
  <si>
    <t>Дотации бюджетам муниципальных районов на выравнивание бюджетной обеспеченности</t>
  </si>
  <si>
    <t>092 20201001 05 0000 151</t>
  </si>
  <si>
    <t>Дотации бюджетам муниципальных районов на поддержку мер по обеспечению сбалансированности бюджетов</t>
  </si>
  <si>
    <t>092 20201003 05 0000 151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</si>
  <si>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</si>
  <si>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092 20202009 05 0000 151</t>
  </si>
  <si>
    <t>Субсидии бюджетам муниципальных районов на реализацию федеральных целевых программ</t>
  </si>
  <si>
    <t>092 20202051 05 0000 151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</si>
  <si>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</si>
  <si>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092 20202077 05 0000 151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</si>
  <si>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</si>
  <si>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092 20202150 05 0000 151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</si>
  <si>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</si>
  <si>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092 20202207 05 0000 151</t>
  </si>
  <si>
    <t>092 20202215 05 0000 151</t>
  </si>
  <si>
    <t>Прочие субсидии бюджетам муниципальных районов</t>
  </si>
  <si>
    <t>092 20202999 05 0000 151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</si>
  <si>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</si>
  <si>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092 20203007 05 0000 151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</si>
  <si>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</si>
  <si>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092 20203015 05 0000 151</t>
  </si>
  <si>
    <t>Субвенции бюджетам муниципальных районов на выполнение передаваемых полномочий субъектов Российской Федерации</t>
  </si>
  <si>
    <t>092 20203024 05 0000 151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</si>
  <si>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</si>
  <si>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092 20203029 05 0000 151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</si>
  <si>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</si>
  <si>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092 20203070 05 0000 151</t>
  </si>
  <si>
    <t>Субвенции бюджетам муниципальных районов на проведение Всероссийской сельскохозяйственной переписи в 2016 году</t>
  </si>
  <si>
    <t>092 20203121 05 0000 151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</si>
  <si>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</si>
  <si>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092 20204014 05 0000 151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</si>
  <si>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</si>
  <si>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092 21805010 05 0000 151</t>
  </si>
  <si>
    <t>092 21905000 05 0000 151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</si>
  <si>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</si>
  <si>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</si>
  <si>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</si>
  <si>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</si>
  <si>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</si>
  <si>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</si>
  <si>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</si>
  <si>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</si>
  <si>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</si>
  <si>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141 11628000 01 0000 140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</si>
  <si>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</si>
  <si>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</si>
  <si>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</si>
  <si>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</si>
  <si>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</si>
  <si>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</si>
  <si>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Налог, взимаемый с налогоплательщиков, выбравших в качестве объекта налогообложения доходы</t>
  </si>
  <si>
    <t>182 10501011 01 0000 110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</si>
  <si>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</si>
  <si>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182 10501021 01 0000 110</t>
  </si>
  <si>
    <t>Минимальный налог, зачисляемый в бюджеты субъектов Российской Федерации</t>
  </si>
  <si>
    <t>182 10501050 01 0000 110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</si>
  <si>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</si>
  <si>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</si>
  <si>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</si>
  <si>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</si>
  <si>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</si>
  <si>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</si>
  <si>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</si>
  <si>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</si>
  <si>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Налог, взимаемый в связи с применением патентной системы налогообложения, зачисляемый в бюджеты муниципальных районов5</t>
  </si>
  <si>
    <t>182 10504020 02 0000 110</t>
  </si>
  <si>
    <t>Налог на имущество организаций по имуществу, не входящему в Единую систему газоснабжения</t>
  </si>
  <si>
    <t>182 10602010 02 0000 110</t>
  </si>
  <si>
    <t>Налог на добычу общераспространенных полезных ископаемых</t>
  </si>
  <si>
    <t>182 10701020 01 0000 110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</si>
  <si>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</si>
  <si>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182 10803010 01 0000 110</t>
  </si>
  <si>
    <t>Прочие местные налоги и сборы, мобилизуемые на территориях муниципальных районов</t>
  </si>
  <si>
    <t>182 10907053 05 0000 110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</si>
  <si>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</si>
  <si>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</si>
  <si>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</si>
  <si>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</si>
  <si>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</si>
  <si>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</si>
  <si>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</si>
  <si>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188 11608010 01 0000 140</t>
  </si>
  <si>
    <t>Денежные взыскания (штрафы) за нарушение законодательства в области охраны окружающей среды</t>
  </si>
  <si>
    <t>188 11625050 01 0000 140</t>
  </si>
  <si>
    <t>188 11628000 01 0000 140</t>
  </si>
  <si>
    <t>Прочие денежные взыскания (штрафы) за правонарушения в области дорожного движения</t>
  </si>
  <si>
    <t>188 11630030 01 0000 140</t>
  </si>
  <si>
    <t>188 11643000 01 0000 140</t>
  </si>
  <si>
    <t>188 11690050 05 0000 140</t>
  </si>
  <si>
    <t>925 11690050 05 0000 140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</si>
  <si>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</si>
  <si>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</si>
  <si>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</si>
  <si>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</si>
  <si>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</si>
  <si>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011 0102 990А002200 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</si>
  <si>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</si>
  <si>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011 0102 990А002200 129</t>
  </si>
  <si>
    <t>011 0103 990А001190 121</t>
  </si>
  <si>
    <t>Иные выплаты персоналу государственных (муниципальных) органов, за исключением фонда оплаты труда</t>
  </si>
  <si>
    <t>011 0103 990А001190 122</t>
  </si>
  <si>
    <t>011 0103 990А001190 129</t>
  </si>
  <si>
    <t>Закупка товаров, работ, услуг в сфере информационно-коммуникационных технологий</t>
  </si>
  <si>
    <t>011 0103 990А001190 242</t>
  </si>
  <si>
    <t>Прочая закупка товаров, работ и услуг для обеспечения государственных (муниципальных) нужд</t>
  </si>
  <si>
    <t>011 0103 990А001190 244</t>
  </si>
  <si>
    <t>011 0103 990А001200 121</t>
  </si>
  <si>
    <t>011 0103 990А001200 129</t>
  </si>
  <si>
    <t>011 0103 990А001300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</si>
  <si>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</si>
  <si>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011 0103 990А001300 123</t>
  </si>
  <si>
    <t>011 0104 9900041100 121</t>
  </si>
  <si>
    <t>011 0104 9900043400 121</t>
  </si>
  <si>
    <t>011 0104 9900043400 129</t>
  </si>
  <si>
    <t>011 0104 9900045500 121</t>
  </si>
  <si>
    <t>011 0104 9900045500 122</t>
  </si>
  <si>
    <t>011 0104 9900045500 129</t>
  </si>
  <si>
    <t>011 0104 9900045500 242</t>
  </si>
  <si>
    <t>011 0104 9900045500 244</t>
  </si>
  <si>
    <t>011 0104 990А002110 121</t>
  </si>
  <si>
    <t>011 0104 990А002110 129</t>
  </si>
  <si>
    <t>011 0104 990А002190 121</t>
  </si>
  <si>
    <t>011 0104 990А002190 122</t>
  </si>
  <si>
    <t>011 0104 990А002190 129</t>
  </si>
  <si>
    <t>011 0104 990А002190 242</t>
  </si>
  <si>
    <t>011 0104 990А002190 244</t>
  </si>
  <si>
    <t>Уплата налога на имущество организаций и земельного налога</t>
  </si>
  <si>
    <t>011 0104 990А002190 851</t>
  </si>
  <si>
    <t>Уплата прочих налогов, сборов</t>
  </si>
  <si>
    <t>011 0104 990А002190 852</t>
  </si>
  <si>
    <t>Уплата иных платежей</t>
  </si>
  <si>
    <t>011 0104 990А002190 853</t>
  </si>
  <si>
    <t>011 0105 9900051200 244</t>
  </si>
  <si>
    <t>011 0106 990А004190 121</t>
  </si>
  <si>
    <t>011 0106 990А004190 122</t>
  </si>
  <si>
    <t>011 0106 990А004190 129</t>
  </si>
  <si>
    <t>011 0106 990А004190 242</t>
  </si>
  <si>
    <t>011 0106 990А004190 244</t>
  </si>
  <si>
    <t>Специальные расходы</t>
  </si>
  <si>
    <t>Резервные средства</t>
  </si>
  <si>
    <t>011 0111 990000Ш000 870</t>
  </si>
  <si>
    <t>011 0113 0120201000 244</t>
  </si>
  <si>
    <t>011 0113 0140153910 242</t>
  </si>
  <si>
    <t>011 0113 0140153910 244</t>
  </si>
  <si>
    <t>Фонд оплаты труда казенных учреждений</t>
  </si>
  <si>
    <t>011 0113 0230601000 111</t>
  </si>
  <si>
    <t>Иные выплаты персоналу казенных учреждений, за исключением фонда оплаты труда</t>
  </si>
  <si>
    <t>011 0113 0230601000 112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</si>
  <si>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
</t>
  </si>
  <si>
    <t>011 0113 0230601000 119</t>
  </si>
  <si>
    <t>011 0113 0230601000 242</t>
  </si>
  <si>
    <t>011 0113 0230601000 244</t>
  </si>
  <si>
    <t>011 0113 0230601000 851</t>
  </si>
  <si>
    <t>011 0113 0230601000 852</t>
  </si>
  <si>
    <t>011 0113 0230601000 853</t>
  </si>
  <si>
    <t>011 0113 0240100000 244</t>
  </si>
  <si>
    <t>011 0113 0240144900 121</t>
  </si>
  <si>
    <t>011 0113 0240144900 122</t>
  </si>
  <si>
    <t>011 0113 0240144900 129</t>
  </si>
  <si>
    <t>011 0113 0240144900 242</t>
  </si>
  <si>
    <t>011 0113 0240144900 244</t>
  </si>
  <si>
    <t>011 0113 0240201000 244</t>
  </si>
  <si>
    <t>Иные выплаты населению</t>
  </si>
  <si>
    <t>011 0113 0240201000 360</t>
  </si>
  <si>
    <t>011 0113 0240202000 244</t>
  </si>
  <si>
    <t>011 0113 0240203000 244</t>
  </si>
  <si>
    <t>011 0113 0240601000 242</t>
  </si>
  <si>
    <t>011 0113 0240601000 244</t>
  </si>
  <si>
    <t>011 0113 0240603000 244</t>
  </si>
  <si>
    <t>011 0113 0240603000 853</t>
  </si>
  <si>
    <t>011 0113 0320101000 244</t>
  </si>
  <si>
    <t>011 0113 9900042900 244</t>
  </si>
  <si>
    <t>011 0113 9900045300 242</t>
  </si>
  <si>
    <t>011 0113 9900045300 244</t>
  </si>
  <si>
    <t>011 0113 9900045400 121</t>
  </si>
  <si>
    <t>011 0113 9900045400 129</t>
  </si>
  <si>
    <t>011 0113 9900045400 242</t>
  </si>
  <si>
    <t>011 0113 9900045400 244</t>
  </si>
  <si>
    <t>011 0113 990А002110 121</t>
  </si>
  <si>
    <t>011 0113 990А002110 129</t>
  </si>
  <si>
    <t>011 0309 0430202000 244</t>
  </si>
  <si>
    <t>Субсидии юридическим лицам (кроме некоммерческих организаций), индивидуальным предпринимателям, физическим лицам</t>
  </si>
  <si>
    <t>011 0309 0430202000 810</t>
  </si>
  <si>
    <t>011 0309 0430203000 121</t>
  </si>
  <si>
    <t>011 0309 0430203000 122</t>
  </si>
  <si>
    <t>011 0309 0430203000 129</t>
  </si>
  <si>
    <t>011 0309 0430203000 242</t>
  </si>
  <si>
    <t>011 0309 0430203000 244</t>
  </si>
  <si>
    <t>011 0314 0240205000 244</t>
  </si>
  <si>
    <t>011 0314 0240242400 360</t>
  </si>
  <si>
    <t>011 0314 02402S2400 360</t>
  </si>
  <si>
    <t>011 0405 0140101000 244</t>
  </si>
  <si>
    <t>011 0405 0140140100 244</t>
  </si>
  <si>
    <t>011 0405 0140140300 121</t>
  </si>
  <si>
    <t>011 0405 0140140300 129</t>
  </si>
  <si>
    <t>011 0405 0140140300 242</t>
  </si>
  <si>
    <t>011 0405 0140140300 244</t>
  </si>
  <si>
    <t>011 0405 014А200110 121</t>
  </si>
  <si>
    <t>011 0405 014А200110 129</t>
  </si>
  <si>
    <t>011 0405 014А200190 121</t>
  </si>
  <si>
    <t>011 0405 014А200190 122</t>
  </si>
  <si>
    <t>011 0405 014А200190 129</t>
  </si>
  <si>
    <t>011 0405 014А200190 242</t>
  </si>
  <si>
    <t>011 0405 014А200190 244</t>
  </si>
  <si>
    <t>011 0405 014А200190 851</t>
  </si>
  <si>
    <t>011 0405 014А200190 852</t>
  </si>
  <si>
    <t>011 0405 014А200190 853</t>
  </si>
  <si>
    <t>011 0409 0410301Д00 244</t>
  </si>
  <si>
    <t>011 0409 0410301Д00 810</t>
  </si>
  <si>
    <t>011 0412 0130102000 244</t>
  </si>
  <si>
    <t>011 0412 01301L0641 810</t>
  </si>
  <si>
    <t>011 0412 01301R0641 810</t>
  </si>
  <si>
    <t>011 0412 01301S0641 810</t>
  </si>
  <si>
    <t>011 0412 0320202000 242</t>
  </si>
  <si>
    <t>011 0412 0320203000 244</t>
  </si>
  <si>
    <t>011 0412 0410202001 244</t>
  </si>
  <si>
    <t>011 0412 0410202002 242</t>
  </si>
  <si>
    <t>011 0412 0410203М00 244</t>
  </si>
  <si>
    <t>011 0501 0410205000 244</t>
  </si>
  <si>
    <t>Субсидии некоммерческим организациям (за исключением государственных (муниципальных) учреждений)</t>
  </si>
  <si>
    <t>011 0501 0410205000 630</t>
  </si>
  <si>
    <t>Закупка товаров, работ, услуг в целях капитального ремонта государственного (муниципального) имущества</t>
  </si>
  <si>
    <t>011 0502 0410101000 243</t>
  </si>
  <si>
    <t>011 0502 0410101000 810</t>
  </si>
  <si>
    <t>011 0502 0410102000 810</t>
  </si>
  <si>
    <t>011 0502 0410141300 810</t>
  </si>
  <si>
    <t>011 0502 0410141900 810</t>
  </si>
  <si>
    <t>011 0502 04101S1300 810</t>
  </si>
  <si>
    <t>011 0502 0420202000 810</t>
  </si>
  <si>
    <t>Бюджетные инвестиции в объекты капитального строительства государственной (муниципальной) собственности</t>
  </si>
  <si>
    <t>011 0502 0430102000 414</t>
  </si>
  <si>
    <t>011 0502 0430140800 244</t>
  </si>
  <si>
    <t>011 0502 04301S0800 244</t>
  </si>
  <si>
    <t>011 0503 0410103100 244</t>
  </si>
  <si>
    <t>011 0701 0230603000 243</t>
  </si>
  <si>
    <t>011 0702 0230244100 243</t>
  </si>
  <si>
    <t>011 0702 0230244100 244</t>
  </si>
  <si>
    <t>011 0702 0230603000 243</t>
  </si>
  <si>
    <t>011 0702 0230650970 243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</si>
  <si>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</si>
  <si>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</si>
  <si>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011 0702 0230703000 621</t>
  </si>
  <si>
    <t>011 0705 990К002000 122</t>
  </si>
  <si>
    <t>011 0705 990К002000 244</t>
  </si>
  <si>
    <t>011 0707 0230401000 121</t>
  </si>
  <si>
    <t>011 0707 0230401000 129</t>
  </si>
  <si>
    <t>011 0707 0230401000 244</t>
  </si>
  <si>
    <t>011 0707 0230402000 244</t>
  </si>
  <si>
    <t>Иные пенсии, социальные доплаты к пенсиям</t>
  </si>
  <si>
    <t>011 1001 0240604000 312</t>
  </si>
  <si>
    <t>Субсидии гражданам на приобретение жилья</t>
  </si>
  <si>
    <t>011 1003 0410250182 322</t>
  </si>
  <si>
    <t>011 1003 0410250200 322</t>
  </si>
  <si>
    <t>Пособия, компенсации, меры социальной поддержки по публичным нормативным обязательствам</t>
  </si>
  <si>
    <t>011 1003 0410251350 313</t>
  </si>
  <si>
    <t>011 1003 04102L0200 322</t>
  </si>
  <si>
    <t>011 1003 04102R0182 322</t>
  </si>
  <si>
    <t>011 1003 04102R0200 322</t>
  </si>
  <si>
    <t>011 1101 0220103000 244</t>
  </si>
  <si>
    <t>011 1102 0220101000 360</t>
  </si>
  <si>
    <t>011 1103 0220102000 123</t>
  </si>
  <si>
    <t>011 1103 0220102000 244</t>
  </si>
  <si>
    <t>011 1103 0220102000 360</t>
  </si>
  <si>
    <t>011 1201 0240802000 630</t>
  </si>
  <si>
    <t>011 1202 0240801000 630</t>
  </si>
  <si>
    <t>057 0702 0230701001 611</t>
  </si>
  <si>
    <t>057 0702 0230701002 611</t>
  </si>
  <si>
    <t>Субсидии бюджетным учреждениям на иные цели</t>
  </si>
  <si>
    <t>057 0702 0230750140 612</t>
  </si>
  <si>
    <t>057 0702 02307L0140 612</t>
  </si>
  <si>
    <t>057 0707 0230402000 121</t>
  </si>
  <si>
    <t>057 0707 0230402000 129</t>
  </si>
  <si>
    <t>057 0707 0230402000 244</t>
  </si>
  <si>
    <t>057 0801 0210101000 611</t>
  </si>
  <si>
    <t>057 0801 0210101000 612</t>
  </si>
  <si>
    <t>057 0801 0210101М00 611</t>
  </si>
  <si>
    <t>057 0801 0210151480 612</t>
  </si>
  <si>
    <t>057 0801 0210201000 621</t>
  </si>
  <si>
    <t>057 0801 0210401000 611</t>
  </si>
  <si>
    <t>057 0801 0210450140 612</t>
  </si>
  <si>
    <t>057 0801 0210451440 612</t>
  </si>
  <si>
    <t>057 0801 0210451460 612</t>
  </si>
  <si>
    <t>057 0801 02104L0140 612</t>
  </si>
  <si>
    <t>057 0801 02104L1440 612</t>
  </si>
  <si>
    <t>057 0801 0210601000 611</t>
  </si>
  <si>
    <t>057 0801 0240750270 612</t>
  </si>
  <si>
    <t>057 0801 02407L0270 612</t>
  </si>
  <si>
    <t>057 0801 0420101000 611</t>
  </si>
  <si>
    <t>057 0804 021А700110 121</t>
  </si>
  <si>
    <t>057 0804 021А700110 129</t>
  </si>
  <si>
    <t>057 0804 021Ц700190 121</t>
  </si>
  <si>
    <t>057 0804 021Ц700190 122</t>
  </si>
  <si>
    <t>057 0804 021Ц700190 129</t>
  </si>
  <si>
    <t>057 0804 021Ц700190 242</t>
  </si>
  <si>
    <t>057 0804 021Ц700190 244</t>
  </si>
  <si>
    <t>057 0804 021Ц700190 851</t>
  </si>
  <si>
    <t>057 0804 021Ц700190 852</t>
  </si>
  <si>
    <t>057 0804 021Ц700190 853</t>
  </si>
  <si>
    <t>074 0701 0230101000 611</t>
  </si>
  <si>
    <t>074 0701 0230101000 612</t>
  </si>
  <si>
    <t>074 0701 0230144300 611</t>
  </si>
  <si>
    <t>074 0701 0230144500 611</t>
  </si>
  <si>
    <t>074 0701 0230146200 612</t>
  </si>
  <si>
    <t>074 0701 0230603000 611</t>
  </si>
  <si>
    <t>074 0701 0230802000 611</t>
  </si>
  <si>
    <t>074 0702 0220201000 611</t>
  </si>
  <si>
    <t>074 0702 0220201000 612</t>
  </si>
  <si>
    <t>074 0702 0230201000 611</t>
  </si>
  <si>
    <t>074 0702 0230201000 612</t>
  </si>
  <si>
    <t>074 0702 0230244100 612</t>
  </si>
  <si>
    <t>074 0702 0230244200 612</t>
  </si>
  <si>
    <t>074 0702 0230244300 611</t>
  </si>
  <si>
    <t>074 0702 0230244400 611</t>
  </si>
  <si>
    <t>074 0702 0230244500 611</t>
  </si>
  <si>
    <t>074 0702 02302S4400 611</t>
  </si>
  <si>
    <t>074 0702 02302S4500 611</t>
  </si>
  <si>
    <t>074 0702 0230402000 611</t>
  </si>
  <si>
    <t>074 0702 0230603000 611</t>
  </si>
  <si>
    <t>074 0702 0230603000 612</t>
  </si>
  <si>
    <t>074 0702 0230702000 611</t>
  </si>
  <si>
    <t>074 0702 0230702000 612</t>
  </si>
  <si>
    <t>074 0702 0230801000 611</t>
  </si>
  <si>
    <t>074 0702 0230802000 611</t>
  </si>
  <si>
    <t>074 0702 0240205000 612</t>
  </si>
  <si>
    <t>074 0702 0420101000 611</t>
  </si>
  <si>
    <t>074 0705 0230101000 611</t>
  </si>
  <si>
    <t>074 0705 0230201000 611</t>
  </si>
  <si>
    <t>074 0707 0230401000 121</t>
  </si>
  <si>
    <t>074 0707 0230401000 122</t>
  </si>
  <si>
    <t>074 0707 0230401000 129</t>
  </si>
  <si>
    <t>074 0707 0230402000 244</t>
  </si>
  <si>
    <t>Пособия и компенсации гражданам и иные социальные выплаты, кроме публичных нормативных обязательств</t>
  </si>
  <si>
    <t>074 0707 0230443300 321</t>
  </si>
  <si>
    <t>074 0707 0230443300 612</t>
  </si>
  <si>
    <t>074 0709 0230603000 243</t>
  </si>
  <si>
    <t>074 0709 0230801000 244</t>
  </si>
  <si>
    <t>074 0709 0230802000 243</t>
  </si>
  <si>
    <t>074 0709 0230802000 244</t>
  </si>
  <si>
    <t>074 0709 023А900110 121</t>
  </si>
  <si>
    <t>074 0709 023А900110 129</t>
  </si>
  <si>
    <t>074 0709 023А900190 121</t>
  </si>
  <si>
    <t>074 0709 023А900190 129</t>
  </si>
  <si>
    <t>074 0709 023Ц900190 121</t>
  </si>
  <si>
    <t>074 0709 023Ц900190 122</t>
  </si>
  <si>
    <t>074 0709 023Ц900190 129</t>
  </si>
  <si>
    <t>074 0709 023Ц900190 242</t>
  </si>
  <si>
    <t>074 0709 023Ц900190 244</t>
  </si>
  <si>
    <t>074 0709 023Ц900190 851</t>
  </si>
  <si>
    <t>074 0709 023Ц900190 852</t>
  </si>
  <si>
    <t>074 0709 023Ц900190 853</t>
  </si>
  <si>
    <t>074 1004 0230143800 321</t>
  </si>
  <si>
    <t>092 0106 0310201000 242</t>
  </si>
  <si>
    <t>092 0106 0310201000 244</t>
  </si>
  <si>
    <t>092 0106 031А300110 121</t>
  </si>
  <si>
    <t>092 0106 031А300110 129</t>
  </si>
  <si>
    <t>092 0106 031А300190 121</t>
  </si>
  <si>
    <t>092 0106 031А300190 122</t>
  </si>
  <si>
    <t>092 0106 031А300190 129</t>
  </si>
  <si>
    <t>092 0106 031А300190 242</t>
  </si>
  <si>
    <t>092 0106 031А300190 244</t>
  </si>
  <si>
    <t>092 0106 031А300190 851</t>
  </si>
  <si>
    <t>092 0106 031А300190 852</t>
  </si>
  <si>
    <t>092 0107 9900003000 880</t>
  </si>
  <si>
    <t>092 0113 0240601000 242</t>
  </si>
  <si>
    <t>Субвенции</t>
  </si>
  <si>
    <t>092 0203 9900051180 530</t>
  </si>
  <si>
    <t>Иные межбюджетные трансферты</t>
  </si>
  <si>
    <t>092 0405 0140140100 540</t>
  </si>
  <si>
    <t>092 0409 0410301Д00 540</t>
  </si>
  <si>
    <t>092 0502 0410101И20 540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</si>
  <si>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</si>
  <si>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092 0503 0140150181 521</t>
  </si>
  <si>
    <t>092 0503 01401R0181 521</t>
  </si>
  <si>
    <t>092 0503 0410103И10 540</t>
  </si>
  <si>
    <t xml:space="preserve">Обслуживание муниципального долга </t>
  </si>
  <si>
    <t>092 1301 0310101000 730</t>
  </si>
  <si>
    <t xml:space="preserve">Дотации на выравнивание бюджетной обеспеченности </t>
  </si>
  <si>
    <t>092 1401 0310102V10 511</t>
  </si>
  <si>
    <t>092 1401 0310102V20 511</t>
  </si>
  <si>
    <t>092 1403 0310102И90 540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</si>
  <si>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</si>
  <si>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</si>
  <si>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</si>
  <si>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</si>
  <si>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</si>
  <si>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</si>
  <si>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</si>
  <si>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</si>
  <si>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</si>
  <si>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</si>
  <si>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092 01030100 05 0000 810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</si>
  <si>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</si>
  <si>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</si>
  <si>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</si>
  <si>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</si>
  <si>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</si>
  <si>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</si>
  <si>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</si>
  <si>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</si>
  <si>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</si>
  <si>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</si>
  <si>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>000 01050000 00 0000 000</t>
  </si>
  <si>
    <t>Субсидии бюджетам на создание в общеобразовательных организациях, расположенных в сельской местности, условий для создания занятий физической культурой и спортом</t>
  </si>
  <si>
    <t>Приложение</t>
  </si>
  <si>
    <t>к Постановлению Администрации</t>
  </si>
  <si>
    <t>№            от                2016 года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</si>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</sst>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5" fillId="33" borderId="33" xfId="0" applyNumberFormat="1" applyFont="1" applyFill="1" applyBorder="1" applyAlignment="1">
      <alignment horizontal="lef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1" xfId="0" applyNumberFormat="1" applyFont="1" applyFill="1" applyBorder="1" applyAlignment="1">
      <alignment horizontal="lef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41" xfId="0" applyNumberFormat="1" applyFont="1" applyFill="1" applyBorder="1" applyAlignment="1">
      <alignment horizontal="right" vertical="center" wrapText="1"/>
    </xf>
    <xf numFmtId="0" fontId="5" fillId="33" borderId="42" xfId="0" applyNumberFormat="1" applyFont="1" applyFill="1" applyBorder="1" applyAlignment="1">
      <alignment horizontal="right" vertical="center" wrapText="1"/>
    </xf>
    <xf numFmtId="0" fontId="5" fillId="33" borderId="43" xfId="0" applyNumberFormat="1" applyFont="1" applyFill="1" applyBorder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44" xfId="0" applyNumberFormat="1" applyFont="1" applyFill="1" applyBorder="1" applyAlignment="1">
      <alignment horizontal="right" vertical="center" wrapText="1"/>
    </xf>
    <xf numFmtId="0" fontId="5" fillId="33" borderId="45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46" xfId="0" applyNumberFormat="1" applyFont="1" applyFill="1" applyBorder="1" applyAlignment="1">
      <alignment horizontal="right" vertical="center" wrapText="1"/>
    </xf>
    <xf numFmtId="4" fontId="5" fillId="33" borderId="47" xfId="0" applyNumberFormat="1" applyFont="1" applyFill="1" applyBorder="1" applyAlignment="1">
      <alignment horizontal="right" vertical="center" wrapText="1"/>
    </xf>
    <xf numFmtId="0" fontId="8" fillId="33" borderId="48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49" xfId="0" applyNumberFormat="1" applyFont="1" applyFill="1" applyBorder="1" applyAlignment="1">
      <alignment horizontal="center" vertical="center" wrapText="1"/>
    </xf>
    <xf numFmtId="0" fontId="8" fillId="33" borderId="50" xfId="0" applyNumberFormat="1" applyFont="1" applyFill="1" applyBorder="1" applyAlignment="1">
      <alignment horizontal="center" vertical="center" wrapText="1"/>
    </xf>
    <xf numFmtId="0" fontId="5" fillId="33" borderId="48" xfId="0" applyNumberFormat="1" applyFont="1" applyFill="1" applyBorder="1" applyAlignment="1">
      <alignment horizontal="lef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51" xfId="0" applyNumberFormat="1" applyFont="1" applyFill="1" applyBorder="1" applyAlignment="1">
      <alignment horizontal="right" vertical="center" wrapText="1"/>
    </xf>
    <xf numFmtId="4" fontId="5" fillId="33" borderId="52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5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54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55" xfId="0" applyNumberFormat="1" applyFont="1" applyFill="1" applyBorder="1" applyAlignment="1">
      <alignment horizontal="center" vertical="center" wrapText="1"/>
    </xf>
    <xf numFmtId="0" fontId="5" fillId="33" borderId="56" xfId="0" applyNumberFormat="1" applyFont="1" applyFill="1" applyBorder="1" applyAlignment="1">
      <alignment horizontal="center" vertical="center" wrapText="1"/>
    </xf>
    <xf numFmtId="4" fontId="5" fillId="33" borderId="57" xfId="0" applyNumberFormat="1" applyFont="1" applyFill="1" applyBorder="1" applyAlignment="1">
      <alignment horizontal="right" vertical="center" wrapText="1"/>
    </xf>
    <xf numFmtId="4" fontId="5" fillId="33" borderId="49" xfId="0" applyNumberFormat="1" applyFont="1" applyFill="1" applyBorder="1" applyAlignment="1">
      <alignment horizontal="right" vertical="center" wrapText="1"/>
    </xf>
    <xf numFmtId="0" fontId="7" fillId="33" borderId="58" xfId="0" applyNumberFormat="1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59" xfId="0" applyNumberFormat="1" applyFont="1" applyFill="1" applyBorder="1" applyAlignment="1">
      <alignment horizontal="center" vertical="center" wrapText="1"/>
    </xf>
    <xf numFmtId="4" fontId="5" fillId="33" borderId="6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6" fillId="33" borderId="6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0"/>
  <sheetViews>
    <sheetView tabSelected="1" zoomScalePageLayoutView="0" workbookViewId="0" topLeftCell="A331">
      <selection activeCell="N359" sqref="N359:O35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0:15" ht="12.75">
      <c r="J1" s="32" t="s">
        <v>478</v>
      </c>
      <c r="K1" s="32"/>
      <c r="L1" s="32"/>
      <c r="M1" s="32"/>
      <c r="N1" s="32"/>
      <c r="O1" s="32"/>
    </row>
    <row r="2" spans="10:15" ht="12.75">
      <c r="J2" s="32" t="s">
        <v>479</v>
      </c>
      <c r="K2" s="32"/>
      <c r="L2" s="32"/>
      <c r="M2" s="32"/>
      <c r="N2" s="32"/>
      <c r="O2" s="32"/>
    </row>
    <row r="3" spans="10:15" ht="12.75">
      <c r="J3" s="32" t="s">
        <v>13</v>
      </c>
      <c r="K3" s="32"/>
      <c r="L3" s="32"/>
      <c r="M3" s="32"/>
      <c r="N3" s="32"/>
      <c r="O3" s="32"/>
    </row>
    <row r="4" spans="10:15" ht="12.75">
      <c r="J4" s="33" t="s">
        <v>480</v>
      </c>
      <c r="K4" s="33"/>
      <c r="L4" s="33"/>
      <c r="M4" s="33"/>
      <c r="N4" s="33"/>
      <c r="O4" s="33"/>
    </row>
    <row r="6" spans="1:15" s="1" customFormat="1" ht="13.5" customHeight="1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2" t="s">
        <v>1</v>
      </c>
    </row>
    <row r="7" spans="1:15" s="1" customFormat="1" ht="13.5" customHeight="1">
      <c r="A7" s="91" t="s">
        <v>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3" t="s">
        <v>3</v>
      </c>
    </row>
    <row r="8" spans="1:15" s="1" customFormat="1" ht="13.5" customHeight="1">
      <c r="A8" s="92" t="s">
        <v>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1" t="s">
        <v>5</v>
      </c>
      <c r="N8" s="91"/>
      <c r="O8" s="4">
        <v>42644</v>
      </c>
    </row>
    <row r="9" spans="1:15" s="1" customFormat="1" ht="13.5" customHeight="1">
      <c r="A9" s="75" t="s">
        <v>6</v>
      </c>
      <c r="B9" s="75"/>
      <c r="C9" s="75"/>
      <c r="D9" s="90" t="s">
        <v>7</v>
      </c>
      <c r="E9" s="90"/>
      <c r="F9" s="90"/>
      <c r="G9" s="90"/>
      <c r="H9" s="90"/>
      <c r="I9" s="90"/>
      <c r="J9" s="90"/>
      <c r="K9" s="90"/>
      <c r="L9" s="91" t="s">
        <v>8</v>
      </c>
      <c r="M9" s="91"/>
      <c r="N9" s="91"/>
      <c r="O9" s="6" t="s">
        <v>10</v>
      </c>
    </row>
    <row r="10" spans="1:15" s="1" customFormat="1" ht="13.5" customHeight="1">
      <c r="A10" s="75"/>
      <c r="B10" s="75"/>
      <c r="C10" s="75"/>
      <c r="D10" s="90"/>
      <c r="E10" s="90"/>
      <c r="F10" s="90"/>
      <c r="G10" s="90"/>
      <c r="H10" s="90"/>
      <c r="I10" s="90"/>
      <c r="J10" s="90"/>
      <c r="K10" s="90"/>
      <c r="L10" s="91" t="s">
        <v>9</v>
      </c>
      <c r="M10" s="91"/>
      <c r="N10" s="91"/>
      <c r="O10" s="6" t="s">
        <v>11</v>
      </c>
    </row>
    <row r="11" spans="1:15" s="1" customFormat="1" ht="13.5" customHeight="1">
      <c r="A11" s="75" t="s">
        <v>12</v>
      </c>
      <c r="B11" s="75"/>
      <c r="C11" s="75"/>
      <c r="D11" s="75"/>
      <c r="E11" s="90" t="s">
        <v>13</v>
      </c>
      <c r="F11" s="90"/>
      <c r="G11" s="90"/>
      <c r="H11" s="90"/>
      <c r="I11" s="90"/>
      <c r="J11" s="90"/>
      <c r="K11" s="90"/>
      <c r="L11" s="91" t="s">
        <v>14</v>
      </c>
      <c r="M11" s="91"/>
      <c r="N11" s="91"/>
      <c r="O11" s="6">
        <v>84640000</v>
      </c>
    </row>
    <row r="12" spans="1:15" s="1" customFormat="1" ht="13.5" customHeight="1">
      <c r="A12" s="5" t="s">
        <v>15</v>
      </c>
      <c r="B12" s="75" t="s">
        <v>16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6" t="s">
        <v>10</v>
      </c>
    </row>
    <row r="13" spans="1:15" s="1" customFormat="1" ht="13.5" customHeight="1">
      <c r="A13" s="75" t="s">
        <v>17</v>
      </c>
      <c r="B13" s="75"/>
      <c r="C13" s="75" t="s">
        <v>18</v>
      </c>
      <c r="D13" s="75"/>
      <c r="E13" s="75"/>
      <c r="F13" s="75"/>
      <c r="G13" s="75"/>
      <c r="H13" s="75"/>
      <c r="I13" s="75"/>
      <c r="J13" s="75"/>
      <c r="K13" s="91" t="s">
        <v>19</v>
      </c>
      <c r="L13" s="91"/>
      <c r="M13" s="91"/>
      <c r="N13" s="91"/>
      <c r="O13" s="7" t="s">
        <v>20</v>
      </c>
    </row>
    <row r="14" spans="1:15" s="1" customFormat="1" ht="13.5" customHeight="1">
      <c r="A14" s="76" t="s">
        <v>21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s="1" customFormat="1" ht="34.5" customHeight="1">
      <c r="A15" s="85" t="s">
        <v>22</v>
      </c>
      <c r="B15" s="85"/>
      <c r="C15" s="85"/>
      <c r="D15" s="85"/>
      <c r="E15" s="85"/>
      <c r="F15" s="85"/>
      <c r="G15" s="8" t="s">
        <v>23</v>
      </c>
      <c r="H15" s="8" t="s">
        <v>24</v>
      </c>
      <c r="I15" s="9" t="s">
        <v>25</v>
      </c>
      <c r="J15" s="86" t="s">
        <v>26</v>
      </c>
      <c r="K15" s="86"/>
      <c r="L15" s="86"/>
      <c r="M15" s="86"/>
      <c r="N15" s="87" t="s">
        <v>27</v>
      </c>
      <c r="O15" s="87"/>
    </row>
    <row r="16" spans="1:15" s="1" customFormat="1" ht="12.75" customHeight="1">
      <c r="A16" s="63" t="s">
        <v>28</v>
      </c>
      <c r="B16" s="63"/>
      <c r="C16" s="63"/>
      <c r="D16" s="63"/>
      <c r="E16" s="63"/>
      <c r="F16" s="63"/>
      <c r="G16" s="10" t="s">
        <v>29</v>
      </c>
      <c r="H16" s="10" t="s">
        <v>30</v>
      </c>
      <c r="I16" s="11" t="s">
        <v>31</v>
      </c>
      <c r="J16" s="64" t="s">
        <v>32</v>
      </c>
      <c r="K16" s="64"/>
      <c r="L16" s="64"/>
      <c r="M16" s="64"/>
      <c r="N16" s="65" t="s">
        <v>33</v>
      </c>
      <c r="O16" s="65"/>
    </row>
    <row r="17" spans="1:15" s="1" customFormat="1" ht="13.5" customHeight="1">
      <c r="A17" s="68" t="s">
        <v>34</v>
      </c>
      <c r="B17" s="68"/>
      <c r="C17" s="68"/>
      <c r="D17" s="68"/>
      <c r="E17" s="68"/>
      <c r="F17" s="68"/>
      <c r="G17" s="12" t="s">
        <v>35</v>
      </c>
      <c r="H17" s="12" t="s">
        <v>36</v>
      </c>
      <c r="I17" s="13">
        <f>463935646.95</f>
        <v>463935646.95</v>
      </c>
      <c r="J17" s="69">
        <f>380327787.6</f>
        <v>380327787.6</v>
      </c>
      <c r="K17" s="69"/>
      <c r="L17" s="69"/>
      <c r="M17" s="69"/>
      <c r="N17" s="83">
        <f>83607859.35</f>
        <v>83607859.35</v>
      </c>
      <c r="O17" s="83"/>
    </row>
    <row r="18" spans="1:15" s="1" customFormat="1" ht="45" customHeight="1">
      <c r="A18" s="58" t="s">
        <v>37</v>
      </c>
      <c r="B18" s="58"/>
      <c r="C18" s="58"/>
      <c r="D18" s="58"/>
      <c r="E18" s="58"/>
      <c r="F18" s="58"/>
      <c r="G18" s="14" t="s">
        <v>35</v>
      </c>
      <c r="H18" s="14" t="s">
        <v>38</v>
      </c>
      <c r="I18" s="15">
        <f>455000</f>
        <v>455000</v>
      </c>
      <c r="J18" s="59">
        <f>228500</f>
        <v>228500</v>
      </c>
      <c r="K18" s="59"/>
      <c r="L18" s="59"/>
      <c r="M18" s="59"/>
      <c r="N18" s="88">
        <f>226500</f>
        <v>226500</v>
      </c>
      <c r="O18" s="88"/>
    </row>
    <row r="19" spans="1:15" s="1" customFormat="1" ht="24" customHeight="1">
      <c r="A19" s="58" t="s">
        <v>39</v>
      </c>
      <c r="B19" s="58"/>
      <c r="C19" s="58"/>
      <c r="D19" s="58"/>
      <c r="E19" s="58"/>
      <c r="F19" s="58"/>
      <c r="G19" s="14" t="s">
        <v>35</v>
      </c>
      <c r="H19" s="14" t="s">
        <v>40</v>
      </c>
      <c r="I19" s="15">
        <f>55000</f>
        <v>55000</v>
      </c>
      <c r="J19" s="59">
        <f>50000</f>
        <v>50000</v>
      </c>
      <c r="K19" s="59"/>
      <c r="L19" s="59"/>
      <c r="M19" s="59"/>
      <c r="N19" s="88">
        <f>5000</f>
        <v>5000</v>
      </c>
      <c r="O19" s="88"/>
    </row>
    <row r="20" spans="1:15" s="1" customFormat="1" ht="45" customHeight="1">
      <c r="A20" s="58" t="s">
        <v>41</v>
      </c>
      <c r="B20" s="58"/>
      <c r="C20" s="58"/>
      <c r="D20" s="58"/>
      <c r="E20" s="58"/>
      <c r="F20" s="58"/>
      <c r="G20" s="14" t="s">
        <v>35</v>
      </c>
      <c r="H20" s="14" t="s">
        <v>42</v>
      </c>
      <c r="I20" s="15">
        <f>6179040</f>
        <v>6179040</v>
      </c>
      <c r="J20" s="59">
        <f>5199660.42</f>
        <v>5199660.42</v>
      </c>
      <c r="K20" s="59"/>
      <c r="L20" s="59"/>
      <c r="M20" s="59"/>
      <c r="N20" s="88">
        <f>979379.58</f>
        <v>979379.58</v>
      </c>
      <c r="O20" s="88"/>
    </row>
    <row r="21" spans="1:15" s="1" customFormat="1" ht="33.75" customHeight="1">
      <c r="A21" s="58" t="s">
        <v>43</v>
      </c>
      <c r="B21" s="58"/>
      <c r="C21" s="58"/>
      <c r="D21" s="58"/>
      <c r="E21" s="58"/>
      <c r="F21" s="58"/>
      <c r="G21" s="14" t="s">
        <v>35</v>
      </c>
      <c r="H21" s="14" t="s">
        <v>44</v>
      </c>
      <c r="I21" s="15">
        <f>400000</f>
        <v>400000</v>
      </c>
      <c r="J21" s="59">
        <f>397978.34</f>
        <v>397978.34</v>
      </c>
      <c r="K21" s="59"/>
      <c r="L21" s="59"/>
      <c r="M21" s="59"/>
      <c r="N21" s="88">
        <f>2021.66</f>
        <v>2021.66</v>
      </c>
      <c r="O21" s="88"/>
    </row>
    <row r="22" spans="1:15" s="1" customFormat="1" ht="45" customHeight="1">
      <c r="A22" s="58" t="s">
        <v>45</v>
      </c>
      <c r="B22" s="58"/>
      <c r="C22" s="58"/>
      <c r="D22" s="58"/>
      <c r="E22" s="58"/>
      <c r="F22" s="58"/>
      <c r="G22" s="14" t="s">
        <v>35</v>
      </c>
      <c r="H22" s="14" t="s">
        <v>46</v>
      </c>
      <c r="I22" s="15">
        <f>30000</f>
        <v>30000</v>
      </c>
      <c r="J22" s="59">
        <f>44614</f>
        <v>44614</v>
      </c>
      <c r="K22" s="59"/>
      <c r="L22" s="59"/>
      <c r="M22" s="59"/>
      <c r="N22" s="88">
        <f>-14614</f>
        <v>-14614</v>
      </c>
      <c r="O22" s="88"/>
    </row>
    <row r="23" spans="1:15" s="1" customFormat="1" ht="24" customHeight="1">
      <c r="A23" s="58" t="s">
        <v>47</v>
      </c>
      <c r="B23" s="58"/>
      <c r="C23" s="58"/>
      <c r="D23" s="58"/>
      <c r="E23" s="58"/>
      <c r="F23" s="58"/>
      <c r="G23" s="14" t="s">
        <v>35</v>
      </c>
      <c r="H23" s="14" t="s">
        <v>48</v>
      </c>
      <c r="I23" s="15">
        <f>2955970</f>
        <v>2955970</v>
      </c>
      <c r="J23" s="59">
        <f>164211.79</f>
        <v>164211.79</v>
      </c>
      <c r="K23" s="59"/>
      <c r="L23" s="59"/>
      <c r="M23" s="59"/>
      <c r="N23" s="88">
        <f>2791758.21</f>
        <v>2791758.21</v>
      </c>
      <c r="O23" s="88"/>
    </row>
    <row r="24" spans="1:15" s="1" customFormat="1" ht="13.5" customHeight="1">
      <c r="A24" s="58" t="s">
        <v>49</v>
      </c>
      <c r="B24" s="58"/>
      <c r="C24" s="58"/>
      <c r="D24" s="58"/>
      <c r="E24" s="58"/>
      <c r="F24" s="58"/>
      <c r="G24" s="14" t="s">
        <v>35</v>
      </c>
      <c r="H24" s="14" t="s">
        <v>50</v>
      </c>
      <c r="I24" s="16" t="s">
        <v>51</v>
      </c>
      <c r="J24" s="59">
        <f>3580</f>
        <v>3580</v>
      </c>
      <c r="K24" s="59"/>
      <c r="L24" s="59"/>
      <c r="M24" s="59"/>
      <c r="N24" s="88">
        <f>0</f>
        <v>0</v>
      </c>
      <c r="O24" s="88"/>
    </row>
    <row r="25" spans="1:15" s="1" customFormat="1" ht="33.75" customHeight="1">
      <c r="A25" s="58" t="s">
        <v>52</v>
      </c>
      <c r="B25" s="58"/>
      <c r="C25" s="58"/>
      <c r="D25" s="58"/>
      <c r="E25" s="58"/>
      <c r="F25" s="58"/>
      <c r="G25" s="14" t="s">
        <v>35</v>
      </c>
      <c r="H25" s="14" t="s">
        <v>53</v>
      </c>
      <c r="I25" s="15">
        <f>1561800</f>
        <v>1561800</v>
      </c>
      <c r="J25" s="59">
        <f>177561.37</f>
        <v>177561.37</v>
      </c>
      <c r="K25" s="59"/>
      <c r="L25" s="59"/>
      <c r="M25" s="59"/>
      <c r="N25" s="88">
        <f>1384238.63</f>
        <v>1384238.63</v>
      </c>
      <c r="O25" s="88"/>
    </row>
    <row r="26" spans="1:15" s="1" customFormat="1" ht="24" customHeight="1">
      <c r="A26" s="58" t="s">
        <v>54</v>
      </c>
      <c r="B26" s="58"/>
      <c r="C26" s="58"/>
      <c r="D26" s="58"/>
      <c r="E26" s="58"/>
      <c r="F26" s="58"/>
      <c r="G26" s="14" t="s">
        <v>35</v>
      </c>
      <c r="H26" s="14" t="s">
        <v>55</v>
      </c>
      <c r="I26" s="15">
        <f>170000</f>
        <v>170000</v>
      </c>
      <c r="J26" s="59">
        <f>131273.96</f>
        <v>131273.96</v>
      </c>
      <c r="K26" s="59"/>
      <c r="L26" s="59"/>
      <c r="M26" s="59"/>
      <c r="N26" s="88">
        <f>38726.04</f>
        <v>38726.04</v>
      </c>
      <c r="O26" s="88"/>
    </row>
    <row r="27" spans="1:15" s="1" customFormat="1" ht="13.5" customHeight="1">
      <c r="A27" s="58" t="s">
        <v>56</v>
      </c>
      <c r="B27" s="58"/>
      <c r="C27" s="58"/>
      <c r="D27" s="58"/>
      <c r="E27" s="58"/>
      <c r="F27" s="58"/>
      <c r="G27" s="14" t="s">
        <v>35</v>
      </c>
      <c r="H27" s="14" t="s">
        <v>57</v>
      </c>
      <c r="I27" s="16" t="s">
        <v>51</v>
      </c>
      <c r="J27" s="59">
        <f>14769.35</f>
        <v>14769.35</v>
      </c>
      <c r="K27" s="59"/>
      <c r="L27" s="59"/>
      <c r="M27" s="59"/>
      <c r="N27" s="88">
        <f>0</f>
        <v>0</v>
      </c>
      <c r="O27" s="88"/>
    </row>
    <row r="28" spans="1:15" s="1" customFormat="1" ht="24" customHeight="1">
      <c r="A28" s="58" t="s">
        <v>58</v>
      </c>
      <c r="B28" s="58"/>
      <c r="C28" s="58"/>
      <c r="D28" s="58"/>
      <c r="E28" s="58"/>
      <c r="F28" s="58"/>
      <c r="G28" s="14" t="s">
        <v>35</v>
      </c>
      <c r="H28" s="14" t="s">
        <v>59</v>
      </c>
      <c r="I28" s="15">
        <f>7600</f>
        <v>7600</v>
      </c>
      <c r="J28" s="59">
        <f>77561.58</f>
        <v>77561.58</v>
      </c>
      <c r="K28" s="59"/>
      <c r="L28" s="59"/>
      <c r="M28" s="59"/>
      <c r="N28" s="88">
        <f>-69961.58</f>
        <v>-69961.58</v>
      </c>
      <c r="O28" s="88"/>
    </row>
    <row r="29" spans="1:15" s="1" customFormat="1" ht="24" customHeight="1">
      <c r="A29" s="58" t="s">
        <v>60</v>
      </c>
      <c r="B29" s="58"/>
      <c r="C29" s="58"/>
      <c r="D29" s="58"/>
      <c r="E29" s="58"/>
      <c r="F29" s="58"/>
      <c r="G29" s="14" t="s">
        <v>35</v>
      </c>
      <c r="H29" s="14" t="s">
        <v>61</v>
      </c>
      <c r="I29" s="15">
        <f>2800</f>
        <v>2800</v>
      </c>
      <c r="J29" s="59">
        <f>39429.88</f>
        <v>39429.88</v>
      </c>
      <c r="K29" s="59"/>
      <c r="L29" s="59"/>
      <c r="M29" s="59"/>
      <c r="N29" s="88">
        <f>-36629.88</f>
        <v>-36629.88</v>
      </c>
      <c r="O29" s="88"/>
    </row>
    <row r="30" spans="1:15" s="1" customFormat="1" ht="13.5" customHeight="1">
      <c r="A30" s="58" t="s">
        <v>62</v>
      </c>
      <c r="B30" s="58"/>
      <c r="C30" s="58"/>
      <c r="D30" s="58"/>
      <c r="E30" s="58"/>
      <c r="F30" s="58"/>
      <c r="G30" s="14" t="s">
        <v>35</v>
      </c>
      <c r="H30" s="14" t="s">
        <v>63</v>
      </c>
      <c r="I30" s="15">
        <f>100</f>
        <v>100</v>
      </c>
      <c r="J30" s="59">
        <f>24.2</f>
        <v>24.2</v>
      </c>
      <c r="K30" s="59"/>
      <c r="L30" s="59"/>
      <c r="M30" s="59"/>
      <c r="N30" s="88">
        <f>75.8</f>
        <v>75.8</v>
      </c>
      <c r="O30" s="88"/>
    </row>
    <row r="31" spans="1:15" s="1" customFormat="1" ht="13.5" customHeight="1">
      <c r="A31" s="58" t="s">
        <v>64</v>
      </c>
      <c r="B31" s="58"/>
      <c r="C31" s="58"/>
      <c r="D31" s="58"/>
      <c r="E31" s="58"/>
      <c r="F31" s="58"/>
      <c r="G31" s="14" t="s">
        <v>35</v>
      </c>
      <c r="H31" s="14" t="s">
        <v>65</v>
      </c>
      <c r="I31" s="15">
        <f>101200</f>
        <v>101200</v>
      </c>
      <c r="J31" s="59">
        <f>336788.23</f>
        <v>336788.23</v>
      </c>
      <c r="K31" s="59"/>
      <c r="L31" s="59"/>
      <c r="M31" s="59"/>
      <c r="N31" s="88">
        <f>-235588.23</f>
        <v>-235588.23</v>
      </c>
      <c r="O31" s="88"/>
    </row>
    <row r="32" spans="1:15" s="1" customFormat="1" ht="24" customHeight="1">
      <c r="A32" s="58" t="s">
        <v>66</v>
      </c>
      <c r="B32" s="58"/>
      <c r="C32" s="58"/>
      <c r="D32" s="58"/>
      <c r="E32" s="58"/>
      <c r="F32" s="58"/>
      <c r="G32" s="14" t="s">
        <v>35</v>
      </c>
      <c r="H32" s="14" t="s">
        <v>67</v>
      </c>
      <c r="I32" s="15">
        <f>60000</f>
        <v>60000</v>
      </c>
      <c r="J32" s="59">
        <f>28500</f>
        <v>28500</v>
      </c>
      <c r="K32" s="59"/>
      <c r="L32" s="59"/>
      <c r="M32" s="59"/>
      <c r="N32" s="88">
        <f>31500</f>
        <v>31500</v>
      </c>
      <c r="O32" s="88"/>
    </row>
    <row r="33" spans="1:15" s="1" customFormat="1" ht="24" customHeight="1">
      <c r="A33" s="58" t="s">
        <v>68</v>
      </c>
      <c r="B33" s="58"/>
      <c r="C33" s="58"/>
      <c r="D33" s="58"/>
      <c r="E33" s="58"/>
      <c r="F33" s="58"/>
      <c r="G33" s="14" t="s">
        <v>35</v>
      </c>
      <c r="H33" s="14" t="s">
        <v>69</v>
      </c>
      <c r="I33" s="15">
        <f>2050</f>
        <v>2050</v>
      </c>
      <c r="J33" s="59">
        <f>2050</f>
        <v>2050</v>
      </c>
      <c r="K33" s="59"/>
      <c r="L33" s="59"/>
      <c r="M33" s="59"/>
      <c r="N33" s="88">
        <f>0</f>
        <v>0</v>
      </c>
      <c r="O33" s="88"/>
    </row>
    <row r="34" spans="1:15" s="1" customFormat="1" ht="13.5" customHeight="1">
      <c r="A34" s="58" t="s">
        <v>49</v>
      </c>
      <c r="B34" s="58"/>
      <c r="C34" s="58"/>
      <c r="D34" s="58"/>
      <c r="E34" s="58"/>
      <c r="F34" s="58"/>
      <c r="G34" s="14" t="s">
        <v>35</v>
      </c>
      <c r="H34" s="14" t="s">
        <v>70</v>
      </c>
      <c r="I34" s="15">
        <f>404700</f>
        <v>404700</v>
      </c>
      <c r="J34" s="59">
        <f>118924.24</f>
        <v>118924.24</v>
      </c>
      <c r="K34" s="59"/>
      <c r="L34" s="59"/>
      <c r="M34" s="59"/>
      <c r="N34" s="88">
        <f>285775.76</f>
        <v>285775.76</v>
      </c>
      <c r="O34" s="88"/>
    </row>
    <row r="35" spans="1:15" s="1" customFormat="1" ht="24" customHeight="1">
      <c r="A35" s="58" t="s">
        <v>68</v>
      </c>
      <c r="B35" s="58"/>
      <c r="C35" s="58"/>
      <c r="D35" s="58"/>
      <c r="E35" s="58"/>
      <c r="F35" s="58"/>
      <c r="G35" s="14" t="s">
        <v>35</v>
      </c>
      <c r="H35" s="14" t="s">
        <v>71</v>
      </c>
      <c r="I35" s="15">
        <f>11703</f>
        <v>11703</v>
      </c>
      <c r="J35" s="59">
        <f>11703</f>
        <v>11703</v>
      </c>
      <c r="K35" s="59"/>
      <c r="L35" s="59"/>
      <c r="M35" s="59"/>
      <c r="N35" s="88">
        <f>0</f>
        <v>0</v>
      </c>
      <c r="O35" s="88"/>
    </row>
    <row r="36" spans="1:15" s="1" customFormat="1" ht="33.75" customHeight="1">
      <c r="A36" s="58" t="s">
        <v>72</v>
      </c>
      <c r="B36" s="58"/>
      <c r="C36" s="58"/>
      <c r="D36" s="58"/>
      <c r="E36" s="58"/>
      <c r="F36" s="58"/>
      <c r="G36" s="14" t="s">
        <v>35</v>
      </c>
      <c r="H36" s="14" t="s">
        <v>73</v>
      </c>
      <c r="I36" s="16" t="s">
        <v>51</v>
      </c>
      <c r="J36" s="59">
        <f>3000</f>
        <v>3000</v>
      </c>
      <c r="K36" s="59"/>
      <c r="L36" s="59"/>
      <c r="M36" s="59"/>
      <c r="N36" s="88">
        <f>0</f>
        <v>0</v>
      </c>
      <c r="O36" s="88"/>
    </row>
    <row r="37" spans="1:15" s="1" customFormat="1" ht="24" customHeight="1">
      <c r="A37" s="58" t="s">
        <v>54</v>
      </c>
      <c r="B37" s="58"/>
      <c r="C37" s="58"/>
      <c r="D37" s="58"/>
      <c r="E37" s="58"/>
      <c r="F37" s="58"/>
      <c r="G37" s="14" t="s">
        <v>35</v>
      </c>
      <c r="H37" s="14" t="s">
        <v>74</v>
      </c>
      <c r="I37" s="16" t="s">
        <v>51</v>
      </c>
      <c r="J37" s="59">
        <f>1000</f>
        <v>1000</v>
      </c>
      <c r="K37" s="59"/>
      <c r="L37" s="59"/>
      <c r="M37" s="59"/>
      <c r="N37" s="88">
        <f>0</f>
        <v>0</v>
      </c>
      <c r="O37" s="88"/>
    </row>
    <row r="38" spans="1:15" s="1" customFormat="1" ht="24" customHeight="1">
      <c r="A38" s="58" t="s">
        <v>75</v>
      </c>
      <c r="B38" s="58"/>
      <c r="C38" s="58"/>
      <c r="D38" s="58"/>
      <c r="E38" s="58"/>
      <c r="F38" s="58"/>
      <c r="G38" s="14" t="s">
        <v>35</v>
      </c>
      <c r="H38" s="14" t="s">
        <v>76</v>
      </c>
      <c r="I38" s="15">
        <f>138083600</f>
        <v>138083600</v>
      </c>
      <c r="J38" s="59">
        <f>113228552</f>
        <v>113228552</v>
      </c>
      <c r="K38" s="59"/>
      <c r="L38" s="59"/>
      <c r="M38" s="59"/>
      <c r="N38" s="88">
        <f>24855048</f>
        <v>24855048</v>
      </c>
      <c r="O38" s="88"/>
    </row>
    <row r="39" spans="1:15" s="1" customFormat="1" ht="24" customHeight="1">
      <c r="A39" s="58" t="s">
        <v>77</v>
      </c>
      <c r="B39" s="58"/>
      <c r="C39" s="58"/>
      <c r="D39" s="58"/>
      <c r="E39" s="58"/>
      <c r="F39" s="58"/>
      <c r="G39" s="14" t="s">
        <v>35</v>
      </c>
      <c r="H39" s="14" t="s">
        <v>78</v>
      </c>
      <c r="I39" s="15">
        <f>7549500</f>
        <v>7549500</v>
      </c>
      <c r="J39" s="59">
        <f>6549700</f>
        <v>6549700</v>
      </c>
      <c r="K39" s="59"/>
      <c r="L39" s="59"/>
      <c r="M39" s="59"/>
      <c r="N39" s="88">
        <f>999800</f>
        <v>999800</v>
      </c>
      <c r="O39" s="88"/>
    </row>
    <row r="40" spans="1:15" s="1" customFormat="1" ht="33.75" customHeight="1">
      <c r="A40" s="58" t="s">
        <v>79</v>
      </c>
      <c r="B40" s="58"/>
      <c r="C40" s="58"/>
      <c r="D40" s="58"/>
      <c r="E40" s="58"/>
      <c r="F40" s="58"/>
      <c r="G40" s="14" t="s">
        <v>35</v>
      </c>
      <c r="H40" s="14" t="s">
        <v>80</v>
      </c>
      <c r="I40" s="15">
        <f>415000</f>
        <v>415000</v>
      </c>
      <c r="J40" s="59">
        <f>415000</f>
        <v>415000</v>
      </c>
      <c r="K40" s="59"/>
      <c r="L40" s="59"/>
      <c r="M40" s="59"/>
      <c r="N40" s="88">
        <f>0</f>
        <v>0</v>
      </c>
      <c r="O40" s="88"/>
    </row>
    <row r="41" spans="1:15" s="1" customFormat="1" ht="24" customHeight="1">
      <c r="A41" s="58" t="s">
        <v>81</v>
      </c>
      <c r="B41" s="58"/>
      <c r="C41" s="58"/>
      <c r="D41" s="58"/>
      <c r="E41" s="58"/>
      <c r="F41" s="58"/>
      <c r="G41" s="14" t="s">
        <v>35</v>
      </c>
      <c r="H41" s="14" t="s">
        <v>82</v>
      </c>
      <c r="I41" s="15">
        <f>7461261.2</f>
        <v>7461261.2</v>
      </c>
      <c r="J41" s="59">
        <f>7461261.2</f>
        <v>7461261.2</v>
      </c>
      <c r="K41" s="59"/>
      <c r="L41" s="59"/>
      <c r="M41" s="59"/>
      <c r="N41" s="88">
        <f>0</f>
        <v>0</v>
      </c>
      <c r="O41" s="88"/>
    </row>
    <row r="42" spans="1:15" s="1" customFormat="1" ht="24" customHeight="1">
      <c r="A42" s="58" t="s">
        <v>83</v>
      </c>
      <c r="B42" s="58"/>
      <c r="C42" s="58"/>
      <c r="D42" s="58"/>
      <c r="E42" s="58"/>
      <c r="F42" s="58"/>
      <c r="G42" s="14" t="s">
        <v>35</v>
      </c>
      <c r="H42" s="14" t="s">
        <v>84</v>
      </c>
      <c r="I42" s="15">
        <f>1712100</f>
        <v>1712100</v>
      </c>
      <c r="J42" s="59">
        <f>1712100</f>
        <v>1712100</v>
      </c>
      <c r="K42" s="59"/>
      <c r="L42" s="59"/>
      <c r="M42" s="59"/>
      <c r="N42" s="88">
        <f>0</f>
        <v>0</v>
      </c>
      <c r="O42" s="88"/>
    </row>
    <row r="43" spans="1:15" s="1" customFormat="1" ht="33.75" customHeight="1">
      <c r="A43" s="58" t="s">
        <v>85</v>
      </c>
      <c r="B43" s="58"/>
      <c r="C43" s="58"/>
      <c r="D43" s="58"/>
      <c r="E43" s="58"/>
      <c r="F43" s="58"/>
      <c r="G43" s="14" t="s">
        <v>35</v>
      </c>
      <c r="H43" s="14" t="s">
        <v>86</v>
      </c>
      <c r="I43" s="15">
        <f>900000</f>
        <v>900000</v>
      </c>
      <c r="J43" s="59">
        <f>900000</f>
        <v>900000</v>
      </c>
      <c r="K43" s="59"/>
      <c r="L43" s="59"/>
      <c r="M43" s="59"/>
      <c r="N43" s="88">
        <f>0</f>
        <v>0</v>
      </c>
      <c r="O43" s="88"/>
    </row>
    <row r="44" spans="1:15" s="1" customFormat="1" ht="33.75" customHeight="1">
      <c r="A44" s="58" t="s">
        <v>87</v>
      </c>
      <c r="B44" s="58"/>
      <c r="C44" s="58"/>
      <c r="D44" s="58"/>
      <c r="E44" s="58"/>
      <c r="F44" s="58"/>
      <c r="G44" s="14" t="s">
        <v>35</v>
      </c>
      <c r="H44" s="14" t="s">
        <v>88</v>
      </c>
      <c r="I44" s="15">
        <v>100000</v>
      </c>
      <c r="J44" s="59">
        <v>100000</v>
      </c>
      <c r="K44" s="89"/>
      <c r="L44" s="89"/>
      <c r="M44" s="89"/>
      <c r="N44" s="88">
        <v>0</v>
      </c>
      <c r="O44" s="88"/>
    </row>
    <row r="45" spans="1:15" s="1" customFormat="1" ht="42" customHeight="1">
      <c r="A45" s="58" t="s">
        <v>477</v>
      </c>
      <c r="B45" s="58"/>
      <c r="C45" s="58"/>
      <c r="D45" s="58"/>
      <c r="E45" s="58"/>
      <c r="F45" s="58"/>
      <c r="G45" s="14" t="s">
        <v>35</v>
      </c>
      <c r="H45" s="14" t="s">
        <v>89</v>
      </c>
      <c r="I45" s="15">
        <f>1570000</f>
        <v>1570000</v>
      </c>
      <c r="J45" s="59">
        <f>1570000</f>
        <v>1570000</v>
      </c>
      <c r="K45" s="59"/>
      <c r="L45" s="59"/>
      <c r="M45" s="59"/>
      <c r="N45" s="88">
        <f>0</f>
        <v>0</v>
      </c>
      <c r="O45" s="88"/>
    </row>
    <row r="46" spans="1:15" s="1" customFormat="1" ht="13.5" customHeight="1">
      <c r="A46" s="58" t="s">
        <v>90</v>
      </c>
      <c r="B46" s="58"/>
      <c r="C46" s="58"/>
      <c r="D46" s="58"/>
      <c r="E46" s="58"/>
      <c r="F46" s="58"/>
      <c r="G46" s="14" t="s">
        <v>35</v>
      </c>
      <c r="H46" s="14" t="s">
        <v>91</v>
      </c>
      <c r="I46" s="15">
        <f>14788000</f>
        <v>14788000</v>
      </c>
      <c r="J46" s="59">
        <f>13523700</f>
        <v>13523700</v>
      </c>
      <c r="K46" s="59"/>
      <c r="L46" s="59"/>
      <c r="M46" s="59"/>
      <c r="N46" s="88">
        <f>1264300</f>
        <v>1264300</v>
      </c>
      <c r="O46" s="88"/>
    </row>
    <row r="47" spans="1:15" s="1" customFormat="1" ht="33.75" customHeight="1">
      <c r="A47" s="58" t="s">
        <v>92</v>
      </c>
      <c r="B47" s="58"/>
      <c r="C47" s="58"/>
      <c r="D47" s="58"/>
      <c r="E47" s="58"/>
      <c r="F47" s="58"/>
      <c r="G47" s="14" t="s">
        <v>35</v>
      </c>
      <c r="H47" s="14" t="s">
        <v>93</v>
      </c>
      <c r="I47" s="15">
        <f>13209</f>
        <v>13209</v>
      </c>
      <c r="J47" s="59">
        <f>13209</f>
        <v>13209</v>
      </c>
      <c r="K47" s="59"/>
      <c r="L47" s="59"/>
      <c r="M47" s="59"/>
      <c r="N47" s="88">
        <f>0</f>
        <v>0</v>
      </c>
      <c r="O47" s="88"/>
    </row>
    <row r="48" spans="1:15" s="1" customFormat="1" ht="24" customHeight="1">
      <c r="A48" s="58" t="s">
        <v>94</v>
      </c>
      <c r="B48" s="58"/>
      <c r="C48" s="58"/>
      <c r="D48" s="58"/>
      <c r="E48" s="58"/>
      <c r="F48" s="58"/>
      <c r="G48" s="14" t="s">
        <v>35</v>
      </c>
      <c r="H48" s="14" t="s">
        <v>95</v>
      </c>
      <c r="I48" s="15">
        <f>576200</f>
        <v>576200</v>
      </c>
      <c r="J48" s="59">
        <f>515400</f>
        <v>515400</v>
      </c>
      <c r="K48" s="59"/>
      <c r="L48" s="59"/>
      <c r="M48" s="59"/>
      <c r="N48" s="88">
        <f>60800</f>
        <v>60800</v>
      </c>
      <c r="O48" s="88"/>
    </row>
    <row r="49" spans="1:15" s="1" customFormat="1" ht="24" customHeight="1">
      <c r="A49" s="58" t="s">
        <v>96</v>
      </c>
      <c r="B49" s="58"/>
      <c r="C49" s="58"/>
      <c r="D49" s="58"/>
      <c r="E49" s="58"/>
      <c r="F49" s="58"/>
      <c r="G49" s="14" t="s">
        <v>35</v>
      </c>
      <c r="H49" s="14" t="s">
        <v>97</v>
      </c>
      <c r="I49" s="15">
        <f>191571000</f>
        <v>191571000</v>
      </c>
      <c r="J49" s="59">
        <f>156506064.61</f>
        <v>156506064.61</v>
      </c>
      <c r="K49" s="59"/>
      <c r="L49" s="59"/>
      <c r="M49" s="59"/>
      <c r="N49" s="88">
        <f>35064935.39</f>
        <v>35064935.39</v>
      </c>
      <c r="O49" s="88"/>
    </row>
    <row r="50" spans="1:15" s="1" customFormat="1" ht="45" customHeight="1">
      <c r="A50" s="58" t="s">
        <v>98</v>
      </c>
      <c r="B50" s="58"/>
      <c r="C50" s="58"/>
      <c r="D50" s="58"/>
      <c r="E50" s="58"/>
      <c r="F50" s="58"/>
      <c r="G50" s="14" t="s">
        <v>35</v>
      </c>
      <c r="H50" s="14" t="s">
        <v>99</v>
      </c>
      <c r="I50" s="15">
        <f>1695700</f>
        <v>1695700</v>
      </c>
      <c r="J50" s="59">
        <f>1695700</f>
        <v>1695700</v>
      </c>
      <c r="K50" s="59"/>
      <c r="L50" s="59"/>
      <c r="M50" s="59"/>
      <c r="N50" s="88">
        <f>0</f>
        <v>0</v>
      </c>
      <c r="O50" s="88"/>
    </row>
    <row r="51" spans="1:15" s="1" customFormat="1" ht="45" customHeight="1">
      <c r="A51" s="58" t="s">
        <v>100</v>
      </c>
      <c r="B51" s="58"/>
      <c r="C51" s="58"/>
      <c r="D51" s="58"/>
      <c r="E51" s="58"/>
      <c r="F51" s="58"/>
      <c r="G51" s="14" t="s">
        <v>35</v>
      </c>
      <c r="H51" s="14" t="s">
        <v>101</v>
      </c>
      <c r="I51" s="15">
        <f>1218420</f>
        <v>1218420</v>
      </c>
      <c r="J51" s="59">
        <f>1218420</f>
        <v>1218420</v>
      </c>
      <c r="K51" s="59"/>
      <c r="L51" s="59"/>
      <c r="M51" s="59"/>
      <c r="N51" s="88">
        <f>0</f>
        <v>0</v>
      </c>
      <c r="O51" s="88"/>
    </row>
    <row r="52" spans="1:15" s="1" customFormat="1" ht="24" customHeight="1">
      <c r="A52" s="58" t="s">
        <v>102</v>
      </c>
      <c r="B52" s="58"/>
      <c r="C52" s="58"/>
      <c r="D52" s="58"/>
      <c r="E52" s="58"/>
      <c r="F52" s="58"/>
      <c r="G52" s="14" t="s">
        <v>35</v>
      </c>
      <c r="H52" s="14" t="s">
        <v>103</v>
      </c>
      <c r="I52" s="15">
        <f>741070</f>
        <v>741070</v>
      </c>
      <c r="J52" s="59">
        <f>494154.29</f>
        <v>494154.29</v>
      </c>
      <c r="K52" s="59"/>
      <c r="L52" s="59"/>
      <c r="M52" s="59"/>
      <c r="N52" s="88">
        <f>246915.71</f>
        <v>246915.71</v>
      </c>
      <c r="O52" s="88"/>
    </row>
    <row r="53" spans="1:15" s="1" customFormat="1" ht="33.75" customHeight="1">
      <c r="A53" s="58" t="s">
        <v>104</v>
      </c>
      <c r="B53" s="58"/>
      <c r="C53" s="58"/>
      <c r="D53" s="58"/>
      <c r="E53" s="58"/>
      <c r="F53" s="58"/>
      <c r="G53" s="14" t="s">
        <v>35</v>
      </c>
      <c r="H53" s="14" t="s">
        <v>105</v>
      </c>
      <c r="I53" s="15">
        <f>315000</f>
        <v>315000</v>
      </c>
      <c r="J53" s="89" t="s">
        <v>51</v>
      </c>
      <c r="K53" s="89"/>
      <c r="L53" s="89"/>
      <c r="M53" s="89"/>
      <c r="N53" s="88">
        <f>315000</f>
        <v>315000</v>
      </c>
      <c r="O53" s="88"/>
    </row>
    <row r="54" spans="1:15" s="1" customFormat="1" ht="33.75" customHeight="1">
      <c r="A54" s="58" t="s">
        <v>106</v>
      </c>
      <c r="B54" s="58"/>
      <c r="C54" s="58"/>
      <c r="D54" s="58"/>
      <c r="E54" s="58"/>
      <c r="F54" s="58"/>
      <c r="G54" s="14" t="s">
        <v>35</v>
      </c>
      <c r="H54" s="14" t="s">
        <v>107</v>
      </c>
      <c r="I54" s="15">
        <f>54713.75</f>
        <v>54713.75</v>
      </c>
      <c r="J54" s="59">
        <f>54713.75</f>
        <v>54713.75</v>
      </c>
      <c r="K54" s="59"/>
      <c r="L54" s="59"/>
      <c r="M54" s="59"/>
      <c r="N54" s="88">
        <f>0</f>
        <v>0</v>
      </c>
      <c r="O54" s="88"/>
    </row>
    <row r="55" spans="1:15" s="1" customFormat="1" ht="33" customHeight="1">
      <c r="A55" s="58" t="s">
        <v>481</v>
      </c>
      <c r="B55" s="58"/>
      <c r="C55" s="58"/>
      <c r="D55" s="58"/>
      <c r="E55" s="58"/>
      <c r="F55" s="58"/>
      <c r="G55" s="14" t="s">
        <v>35</v>
      </c>
      <c r="H55" s="14" t="s">
        <v>108</v>
      </c>
      <c r="I55" s="15">
        <f>-190</f>
        <v>-190</v>
      </c>
      <c r="J55" s="59">
        <f>-3770</f>
        <v>-3770</v>
      </c>
      <c r="K55" s="59"/>
      <c r="L55" s="59"/>
      <c r="M55" s="59"/>
      <c r="N55" s="88">
        <f>3580</f>
        <v>3580</v>
      </c>
      <c r="O55" s="88"/>
    </row>
    <row r="56" spans="1:15" s="1" customFormat="1" ht="45" customHeight="1">
      <c r="A56" s="58" t="s">
        <v>109</v>
      </c>
      <c r="B56" s="58"/>
      <c r="C56" s="58"/>
      <c r="D56" s="58"/>
      <c r="E56" s="58"/>
      <c r="F56" s="58"/>
      <c r="G56" s="14" t="s">
        <v>35</v>
      </c>
      <c r="H56" s="14" t="s">
        <v>110</v>
      </c>
      <c r="I56" s="15">
        <f>2711620</f>
        <v>2711620</v>
      </c>
      <c r="J56" s="59">
        <f>2231792.73</f>
        <v>2231792.73</v>
      </c>
      <c r="K56" s="59"/>
      <c r="L56" s="59"/>
      <c r="M56" s="59"/>
      <c r="N56" s="88">
        <f>479827.27</f>
        <v>479827.27</v>
      </c>
      <c r="O56" s="88"/>
    </row>
    <row r="57" spans="1:15" s="1" customFormat="1" ht="54.75" customHeight="1">
      <c r="A57" s="58" t="s">
        <v>111</v>
      </c>
      <c r="B57" s="58"/>
      <c r="C57" s="58"/>
      <c r="D57" s="58"/>
      <c r="E57" s="58"/>
      <c r="F57" s="58"/>
      <c r="G57" s="14" t="s">
        <v>35</v>
      </c>
      <c r="H57" s="14" t="s">
        <v>112</v>
      </c>
      <c r="I57" s="15">
        <f>50450</f>
        <v>50450</v>
      </c>
      <c r="J57" s="59">
        <f>35570.56</f>
        <v>35570.56</v>
      </c>
      <c r="K57" s="59"/>
      <c r="L57" s="59"/>
      <c r="M57" s="59"/>
      <c r="N57" s="88">
        <f>14879.44</f>
        <v>14879.44</v>
      </c>
      <c r="O57" s="88"/>
    </row>
    <row r="58" spans="1:15" s="1" customFormat="1" ht="45" customHeight="1">
      <c r="A58" s="58" t="s">
        <v>113</v>
      </c>
      <c r="B58" s="58"/>
      <c r="C58" s="58"/>
      <c r="D58" s="58"/>
      <c r="E58" s="58"/>
      <c r="F58" s="58"/>
      <c r="G58" s="14" t="s">
        <v>35</v>
      </c>
      <c r="H58" s="14" t="s">
        <v>114</v>
      </c>
      <c r="I58" s="15">
        <f>3392680</f>
        <v>3392680</v>
      </c>
      <c r="J58" s="59">
        <f>4680911.7</f>
        <v>4680911.7</v>
      </c>
      <c r="K58" s="59"/>
      <c r="L58" s="59"/>
      <c r="M58" s="59"/>
      <c r="N58" s="88">
        <f>-1288231.7</f>
        <v>-1288231.7</v>
      </c>
      <c r="O58" s="88"/>
    </row>
    <row r="59" spans="1:15" s="1" customFormat="1" ht="45" customHeight="1">
      <c r="A59" s="58" t="s">
        <v>115</v>
      </c>
      <c r="B59" s="58"/>
      <c r="C59" s="58"/>
      <c r="D59" s="58"/>
      <c r="E59" s="58"/>
      <c r="F59" s="58"/>
      <c r="G59" s="14" t="s">
        <v>35</v>
      </c>
      <c r="H59" s="14" t="s">
        <v>116</v>
      </c>
      <c r="I59" s="15">
        <f>151350</f>
        <v>151350</v>
      </c>
      <c r="J59" s="59">
        <f>-308174.73</f>
        <v>-308174.73</v>
      </c>
      <c r="K59" s="59"/>
      <c r="L59" s="59"/>
      <c r="M59" s="59"/>
      <c r="N59" s="88">
        <f>459524.73</f>
        <v>459524.73</v>
      </c>
      <c r="O59" s="88"/>
    </row>
    <row r="60" spans="1:15" s="1" customFormat="1" ht="33.75" customHeight="1">
      <c r="A60" s="58" t="s">
        <v>117</v>
      </c>
      <c r="B60" s="58"/>
      <c r="C60" s="58"/>
      <c r="D60" s="58"/>
      <c r="E60" s="58"/>
      <c r="F60" s="58"/>
      <c r="G60" s="14" t="s">
        <v>35</v>
      </c>
      <c r="H60" s="14" t="s">
        <v>118</v>
      </c>
      <c r="I60" s="15">
        <f>650000</f>
        <v>650000</v>
      </c>
      <c r="J60" s="59">
        <f>451425.53</f>
        <v>451425.53</v>
      </c>
      <c r="K60" s="59"/>
      <c r="L60" s="59"/>
      <c r="M60" s="59"/>
      <c r="N60" s="88">
        <f>198574.47</f>
        <v>198574.47</v>
      </c>
      <c r="O60" s="88"/>
    </row>
    <row r="61" spans="1:15" s="1" customFormat="1" ht="45" customHeight="1">
      <c r="A61" s="58" t="s">
        <v>119</v>
      </c>
      <c r="B61" s="58"/>
      <c r="C61" s="58"/>
      <c r="D61" s="58"/>
      <c r="E61" s="58"/>
      <c r="F61" s="58"/>
      <c r="G61" s="14" t="s">
        <v>35</v>
      </c>
      <c r="H61" s="14" t="s">
        <v>120</v>
      </c>
      <c r="I61" s="15">
        <f>49529000</f>
        <v>49529000</v>
      </c>
      <c r="J61" s="59">
        <f>35250043.4</f>
        <v>35250043.4</v>
      </c>
      <c r="K61" s="59"/>
      <c r="L61" s="59"/>
      <c r="M61" s="59"/>
      <c r="N61" s="88">
        <f>14278956.6</f>
        <v>14278956.6</v>
      </c>
      <c r="O61" s="88"/>
    </row>
    <row r="62" spans="1:15" s="1" customFormat="1" ht="66" customHeight="1">
      <c r="A62" s="58" t="s">
        <v>121</v>
      </c>
      <c r="B62" s="58"/>
      <c r="C62" s="58"/>
      <c r="D62" s="58"/>
      <c r="E62" s="58"/>
      <c r="F62" s="58"/>
      <c r="G62" s="14" t="s">
        <v>35</v>
      </c>
      <c r="H62" s="14" t="s">
        <v>122</v>
      </c>
      <c r="I62" s="15">
        <f>146450</f>
        <v>146450</v>
      </c>
      <c r="J62" s="59">
        <f>129039.12</f>
        <v>129039.12</v>
      </c>
      <c r="K62" s="59"/>
      <c r="L62" s="59"/>
      <c r="M62" s="59"/>
      <c r="N62" s="88">
        <f>17410.88</f>
        <v>17410.88</v>
      </c>
      <c r="O62" s="88"/>
    </row>
    <row r="63" spans="1:15" s="1" customFormat="1" ht="24" customHeight="1">
      <c r="A63" s="58" t="s">
        <v>123</v>
      </c>
      <c r="B63" s="58"/>
      <c r="C63" s="58"/>
      <c r="D63" s="58"/>
      <c r="E63" s="58"/>
      <c r="F63" s="58"/>
      <c r="G63" s="14" t="s">
        <v>35</v>
      </c>
      <c r="H63" s="14" t="s">
        <v>124</v>
      </c>
      <c r="I63" s="15">
        <f>74550</f>
        <v>74550</v>
      </c>
      <c r="J63" s="59">
        <f>281394.71</f>
        <v>281394.71</v>
      </c>
      <c r="K63" s="59"/>
      <c r="L63" s="59"/>
      <c r="M63" s="59"/>
      <c r="N63" s="88">
        <f>-206844.71</f>
        <v>-206844.71</v>
      </c>
      <c r="O63" s="88"/>
    </row>
    <row r="64" spans="1:15" s="1" customFormat="1" ht="24" customHeight="1">
      <c r="A64" s="58" t="s">
        <v>125</v>
      </c>
      <c r="B64" s="58"/>
      <c r="C64" s="58"/>
      <c r="D64" s="58"/>
      <c r="E64" s="58"/>
      <c r="F64" s="58"/>
      <c r="G64" s="14" t="s">
        <v>35</v>
      </c>
      <c r="H64" s="14" t="s">
        <v>126</v>
      </c>
      <c r="I64" s="15">
        <f>5567300</f>
        <v>5567300</v>
      </c>
      <c r="J64" s="59">
        <f>4803912.8</f>
        <v>4803912.8</v>
      </c>
      <c r="K64" s="59"/>
      <c r="L64" s="59"/>
      <c r="M64" s="59"/>
      <c r="N64" s="88">
        <f>763387.2</f>
        <v>763387.2</v>
      </c>
      <c r="O64" s="88"/>
    </row>
    <row r="65" spans="1:15" s="1" customFormat="1" ht="24" customHeight="1">
      <c r="A65" s="58" t="s">
        <v>127</v>
      </c>
      <c r="B65" s="58"/>
      <c r="C65" s="58"/>
      <c r="D65" s="58"/>
      <c r="E65" s="58"/>
      <c r="F65" s="58"/>
      <c r="G65" s="14" t="s">
        <v>35</v>
      </c>
      <c r="H65" s="14" t="s">
        <v>128</v>
      </c>
      <c r="I65" s="15">
        <f>2997700</f>
        <v>2997700</v>
      </c>
      <c r="J65" s="59">
        <f>3616513.16</f>
        <v>3616513.16</v>
      </c>
      <c r="K65" s="59"/>
      <c r="L65" s="59"/>
      <c r="M65" s="59"/>
      <c r="N65" s="88">
        <f>-618813.16</f>
        <v>-618813.16</v>
      </c>
      <c r="O65" s="88"/>
    </row>
    <row r="66" spans="1:15" s="1" customFormat="1" ht="13.5" customHeight="1">
      <c r="A66" s="58" t="s">
        <v>129</v>
      </c>
      <c r="B66" s="58"/>
      <c r="C66" s="58"/>
      <c r="D66" s="58"/>
      <c r="E66" s="58"/>
      <c r="F66" s="58"/>
      <c r="G66" s="14" t="s">
        <v>35</v>
      </c>
      <c r="H66" s="14" t="s">
        <v>130</v>
      </c>
      <c r="I66" s="15">
        <f>1335000</f>
        <v>1335000</v>
      </c>
      <c r="J66" s="59">
        <f>1156309.6</f>
        <v>1156309.6</v>
      </c>
      <c r="K66" s="59"/>
      <c r="L66" s="59"/>
      <c r="M66" s="59"/>
      <c r="N66" s="88">
        <f>178690.4</f>
        <v>178690.4</v>
      </c>
      <c r="O66" s="88"/>
    </row>
    <row r="67" spans="1:15" s="1" customFormat="1" ht="13.5" customHeight="1">
      <c r="A67" s="58" t="s">
        <v>131</v>
      </c>
      <c r="B67" s="58"/>
      <c r="C67" s="58"/>
      <c r="D67" s="58"/>
      <c r="E67" s="58"/>
      <c r="F67" s="58"/>
      <c r="G67" s="14" t="s">
        <v>35</v>
      </c>
      <c r="H67" s="14" t="s">
        <v>132</v>
      </c>
      <c r="I67" s="15">
        <f>9700000</f>
        <v>9700000</v>
      </c>
      <c r="J67" s="59">
        <f>6540145.51</f>
        <v>6540145.51</v>
      </c>
      <c r="K67" s="59"/>
      <c r="L67" s="59"/>
      <c r="M67" s="59"/>
      <c r="N67" s="88">
        <f>3159854.49</f>
        <v>3159854.49</v>
      </c>
      <c r="O67" s="88"/>
    </row>
    <row r="68" spans="1:15" s="1" customFormat="1" ht="24" customHeight="1">
      <c r="A68" s="58" t="s">
        <v>133</v>
      </c>
      <c r="B68" s="58"/>
      <c r="C68" s="58"/>
      <c r="D68" s="58"/>
      <c r="E68" s="58"/>
      <c r="F68" s="58"/>
      <c r="G68" s="14" t="s">
        <v>35</v>
      </c>
      <c r="H68" s="14" t="s">
        <v>134</v>
      </c>
      <c r="I68" s="16" t="s">
        <v>51</v>
      </c>
      <c r="J68" s="59">
        <f>402.47</f>
        <v>402.47</v>
      </c>
      <c r="K68" s="59"/>
      <c r="L68" s="59"/>
      <c r="M68" s="59"/>
      <c r="N68" s="88">
        <f>0</f>
        <v>0</v>
      </c>
      <c r="O68" s="88"/>
    </row>
    <row r="69" spans="1:15" s="1" customFormat="1" ht="13.5" customHeight="1">
      <c r="A69" s="58" t="s">
        <v>135</v>
      </c>
      <c r="B69" s="58"/>
      <c r="C69" s="58"/>
      <c r="D69" s="58"/>
      <c r="E69" s="58"/>
      <c r="F69" s="58"/>
      <c r="G69" s="14" t="s">
        <v>35</v>
      </c>
      <c r="H69" s="14" t="s">
        <v>136</v>
      </c>
      <c r="I69" s="15">
        <f>1890000</f>
        <v>1890000</v>
      </c>
      <c r="J69" s="59">
        <f>4888509.31</f>
        <v>4888509.31</v>
      </c>
      <c r="K69" s="59"/>
      <c r="L69" s="59"/>
      <c r="M69" s="59"/>
      <c r="N69" s="88">
        <f>-2998509.31</f>
        <v>-2998509.31</v>
      </c>
      <c r="O69" s="88"/>
    </row>
    <row r="70" spans="1:15" s="1" customFormat="1" ht="24" customHeight="1">
      <c r="A70" s="58" t="s">
        <v>137</v>
      </c>
      <c r="B70" s="58"/>
      <c r="C70" s="58"/>
      <c r="D70" s="58"/>
      <c r="E70" s="58"/>
      <c r="F70" s="58"/>
      <c r="G70" s="14" t="s">
        <v>35</v>
      </c>
      <c r="H70" s="14" t="s">
        <v>138</v>
      </c>
      <c r="I70" s="16" t="s">
        <v>51</v>
      </c>
      <c r="J70" s="59">
        <f>3599.99</f>
        <v>3599.99</v>
      </c>
      <c r="K70" s="59"/>
      <c r="L70" s="59"/>
      <c r="M70" s="59"/>
      <c r="N70" s="88">
        <f>0</f>
        <v>0</v>
      </c>
      <c r="O70" s="88"/>
    </row>
    <row r="71" spans="1:15" s="1" customFormat="1" ht="24" customHeight="1">
      <c r="A71" s="58" t="s">
        <v>139</v>
      </c>
      <c r="B71" s="58"/>
      <c r="C71" s="58"/>
      <c r="D71" s="58"/>
      <c r="E71" s="58"/>
      <c r="F71" s="58"/>
      <c r="G71" s="14" t="s">
        <v>35</v>
      </c>
      <c r="H71" s="14" t="s">
        <v>140</v>
      </c>
      <c r="I71" s="15">
        <f>62000</f>
        <v>62000</v>
      </c>
      <c r="J71" s="59">
        <f>22044</f>
        <v>22044</v>
      </c>
      <c r="K71" s="59"/>
      <c r="L71" s="59"/>
      <c r="M71" s="59"/>
      <c r="N71" s="88">
        <f>39956</f>
        <v>39956</v>
      </c>
      <c r="O71" s="88"/>
    </row>
    <row r="72" spans="1:15" s="1" customFormat="1" ht="24" customHeight="1">
      <c r="A72" s="58" t="s">
        <v>141</v>
      </c>
      <c r="B72" s="58"/>
      <c r="C72" s="58"/>
      <c r="D72" s="58"/>
      <c r="E72" s="58"/>
      <c r="F72" s="58"/>
      <c r="G72" s="14" t="s">
        <v>35</v>
      </c>
      <c r="H72" s="14" t="s">
        <v>142</v>
      </c>
      <c r="I72" s="15">
        <f>2970000</f>
        <v>2970000</v>
      </c>
      <c r="J72" s="59">
        <f>1957269.18</f>
        <v>1957269.18</v>
      </c>
      <c r="K72" s="59"/>
      <c r="L72" s="59"/>
      <c r="M72" s="59"/>
      <c r="N72" s="88">
        <f>1012730.82</f>
        <v>1012730.82</v>
      </c>
      <c r="O72" s="88"/>
    </row>
    <row r="73" spans="1:15" s="1" customFormat="1" ht="13.5" customHeight="1">
      <c r="A73" s="58" t="s">
        <v>143</v>
      </c>
      <c r="B73" s="58"/>
      <c r="C73" s="58"/>
      <c r="D73" s="58"/>
      <c r="E73" s="58"/>
      <c r="F73" s="58"/>
      <c r="G73" s="14" t="s">
        <v>35</v>
      </c>
      <c r="H73" s="14" t="s">
        <v>144</v>
      </c>
      <c r="I73" s="15">
        <f>4000</f>
        <v>4000</v>
      </c>
      <c r="J73" s="59">
        <f>124880.37</f>
        <v>124880.37</v>
      </c>
      <c r="K73" s="59"/>
      <c r="L73" s="59"/>
      <c r="M73" s="59"/>
      <c r="N73" s="88">
        <f>-120880.37</f>
        <v>-120880.37</v>
      </c>
      <c r="O73" s="88"/>
    </row>
    <row r="74" spans="1:15" s="1" customFormat="1" ht="33.75" customHeight="1">
      <c r="A74" s="58" t="s">
        <v>145</v>
      </c>
      <c r="B74" s="58"/>
      <c r="C74" s="58"/>
      <c r="D74" s="58"/>
      <c r="E74" s="58"/>
      <c r="F74" s="58"/>
      <c r="G74" s="14" t="s">
        <v>35</v>
      </c>
      <c r="H74" s="14" t="s">
        <v>146</v>
      </c>
      <c r="I74" s="15">
        <f>1245000</f>
        <v>1245000</v>
      </c>
      <c r="J74" s="59">
        <f>976704.97</f>
        <v>976704.97</v>
      </c>
      <c r="K74" s="59"/>
      <c r="L74" s="59"/>
      <c r="M74" s="59"/>
      <c r="N74" s="88">
        <f>268295.03</f>
        <v>268295.03</v>
      </c>
      <c r="O74" s="88"/>
    </row>
    <row r="75" spans="1:15" s="1" customFormat="1" ht="24" customHeight="1">
      <c r="A75" s="58" t="s">
        <v>147</v>
      </c>
      <c r="B75" s="58"/>
      <c r="C75" s="58"/>
      <c r="D75" s="58"/>
      <c r="E75" s="58"/>
      <c r="F75" s="58"/>
      <c r="G75" s="14" t="s">
        <v>35</v>
      </c>
      <c r="H75" s="14" t="s">
        <v>148</v>
      </c>
      <c r="I75" s="16" t="s">
        <v>51</v>
      </c>
      <c r="J75" s="59">
        <f>300</f>
        <v>300</v>
      </c>
      <c r="K75" s="59"/>
      <c r="L75" s="59"/>
      <c r="M75" s="59"/>
      <c r="N75" s="88">
        <f>0</f>
        <v>0</v>
      </c>
      <c r="O75" s="88"/>
    </row>
    <row r="76" spans="1:15" s="1" customFormat="1" ht="45" customHeight="1">
      <c r="A76" s="58" t="s">
        <v>149</v>
      </c>
      <c r="B76" s="58"/>
      <c r="C76" s="58"/>
      <c r="D76" s="58"/>
      <c r="E76" s="58"/>
      <c r="F76" s="58"/>
      <c r="G76" s="14" t="s">
        <v>35</v>
      </c>
      <c r="H76" s="14" t="s">
        <v>150</v>
      </c>
      <c r="I76" s="15">
        <f>5000</f>
        <v>5000</v>
      </c>
      <c r="J76" s="59">
        <f>7794.94</f>
        <v>7794.94</v>
      </c>
      <c r="K76" s="59"/>
      <c r="L76" s="59"/>
      <c r="M76" s="59"/>
      <c r="N76" s="88">
        <f>-2794.94</f>
        <v>-2794.94</v>
      </c>
      <c r="O76" s="88"/>
    </row>
    <row r="77" spans="1:15" s="1" customFormat="1" ht="33.75" customHeight="1">
      <c r="A77" s="58" t="s">
        <v>151</v>
      </c>
      <c r="B77" s="58"/>
      <c r="C77" s="58"/>
      <c r="D77" s="58"/>
      <c r="E77" s="58"/>
      <c r="F77" s="58"/>
      <c r="G77" s="14" t="s">
        <v>35</v>
      </c>
      <c r="H77" s="14" t="s">
        <v>152</v>
      </c>
      <c r="I77" s="15">
        <f>5000</f>
        <v>5000</v>
      </c>
      <c r="J77" s="59">
        <f>49.99</f>
        <v>49.99</v>
      </c>
      <c r="K77" s="59"/>
      <c r="L77" s="59"/>
      <c r="M77" s="59"/>
      <c r="N77" s="88">
        <f>4950.01</f>
        <v>4950.01</v>
      </c>
      <c r="O77" s="88"/>
    </row>
    <row r="78" spans="1:15" s="1" customFormat="1" ht="33.75" customHeight="1">
      <c r="A78" s="58" t="s">
        <v>153</v>
      </c>
      <c r="B78" s="58"/>
      <c r="C78" s="58"/>
      <c r="D78" s="58"/>
      <c r="E78" s="58"/>
      <c r="F78" s="58"/>
      <c r="G78" s="14" t="s">
        <v>35</v>
      </c>
      <c r="H78" s="14" t="s">
        <v>154</v>
      </c>
      <c r="I78" s="15">
        <f>30000</f>
        <v>30000</v>
      </c>
      <c r="J78" s="59">
        <f>10656.24</f>
        <v>10656.24</v>
      </c>
      <c r="K78" s="59"/>
      <c r="L78" s="59"/>
      <c r="M78" s="59"/>
      <c r="N78" s="88">
        <f>19343.76</f>
        <v>19343.76</v>
      </c>
      <c r="O78" s="88"/>
    </row>
    <row r="79" spans="1:15" s="1" customFormat="1" ht="33.75" customHeight="1">
      <c r="A79" s="58" t="s">
        <v>155</v>
      </c>
      <c r="B79" s="58"/>
      <c r="C79" s="58"/>
      <c r="D79" s="58"/>
      <c r="E79" s="58"/>
      <c r="F79" s="58"/>
      <c r="G79" s="14" t="s">
        <v>35</v>
      </c>
      <c r="H79" s="14" t="s">
        <v>156</v>
      </c>
      <c r="I79" s="16" t="s">
        <v>51</v>
      </c>
      <c r="J79" s="59">
        <f>5500</f>
        <v>5500</v>
      </c>
      <c r="K79" s="59"/>
      <c r="L79" s="59"/>
      <c r="M79" s="59"/>
      <c r="N79" s="88">
        <f>0</f>
        <v>0</v>
      </c>
      <c r="O79" s="88"/>
    </row>
    <row r="80" spans="1:15" s="1" customFormat="1" ht="24" customHeight="1">
      <c r="A80" s="58" t="s">
        <v>157</v>
      </c>
      <c r="B80" s="58"/>
      <c r="C80" s="58"/>
      <c r="D80" s="58"/>
      <c r="E80" s="58"/>
      <c r="F80" s="58"/>
      <c r="G80" s="14" t="s">
        <v>35</v>
      </c>
      <c r="H80" s="14" t="s">
        <v>158</v>
      </c>
      <c r="I80" s="16" t="s">
        <v>51</v>
      </c>
      <c r="J80" s="59">
        <f>1700</f>
        <v>1700</v>
      </c>
      <c r="K80" s="59"/>
      <c r="L80" s="59"/>
      <c r="M80" s="59"/>
      <c r="N80" s="88">
        <f>0</f>
        <v>0</v>
      </c>
      <c r="O80" s="88"/>
    </row>
    <row r="81" spans="1:15" s="1" customFormat="1" ht="33.75" customHeight="1">
      <c r="A81" s="58" t="s">
        <v>117</v>
      </c>
      <c r="B81" s="58"/>
      <c r="C81" s="58"/>
      <c r="D81" s="58"/>
      <c r="E81" s="58"/>
      <c r="F81" s="58"/>
      <c r="G81" s="14" t="s">
        <v>35</v>
      </c>
      <c r="H81" s="14" t="s">
        <v>159</v>
      </c>
      <c r="I81" s="16" t="s">
        <v>51</v>
      </c>
      <c r="J81" s="59">
        <f>2500</f>
        <v>2500</v>
      </c>
      <c r="K81" s="59"/>
      <c r="L81" s="59"/>
      <c r="M81" s="59"/>
      <c r="N81" s="88">
        <f>0</f>
        <v>0</v>
      </c>
      <c r="O81" s="88"/>
    </row>
    <row r="82" spans="1:15" s="1" customFormat="1" ht="24" customHeight="1">
      <c r="A82" s="58" t="s">
        <v>160</v>
      </c>
      <c r="B82" s="58"/>
      <c r="C82" s="58"/>
      <c r="D82" s="58"/>
      <c r="E82" s="58"/>
      <c r="F82" s="58"/>
      <c r="G82" s="14" t="s">
        <v>35</v>
      </c>
      <c r="H82" s="14" t="s">
        <v>161</v>
      </c>
      <c r="I82" s="16" t="s">
        <v>51</v>
      </c>
      <c r="J82" s="59">
        <f>4000</f>
        <v>4000</v>
      </c>
      <c r="K82" s="59"/>
      <c r="L82" s="59"/>
      <c r="M82" s="59"/>
      <c r="N82" s="88">
        <f>0</f>
        <v>0</v>
      </c>
      <c r="O82" s="88"/>
    </row>
    <row r="83" spans="1:15" s="1" customFormat="1" ht="33.75" customHeight="1">
      <c r="A83" s="58" t="s">
        <v>72</v>
      </c>
      <c r="B83" s="58"/>
      <c r="C83" s="58"/>
      <c r="D83" s="58"/>
      <c r="E83" s="58"/>
      <c r="F83" s="58"/>
      <c r="G83" s="14" t="s">
        <v>35</v>
      </c>
      <c r="H83" s="14" t="s">
        <v>162</v>
      </c>
      <c r="I83" s="16" t="s">
        <v>51</v>
      </c>
      <c r="J83" s="59">
        <f>11700</f>
        <v>11700</v>
      </c>
      <c r="K83" s="59"/>
      <c r="L83" s="59"/>
      <c r="M83" s="59"/>
      <c r="N83" s="88">
        <f>0</f>
        <v>0</v>
      </c>
      <c r="O83" s="88"/>
    </row>
    <row r="84" spans="1:15" s="1" customFormat="1" ht="24" customHeight="1">
      <c r="A84" s="58" t="s">
        <v>54</v>
      </c>
      <c r="B84" s="58"/>
      <c r="C84" s="58"/>
      <c r="D84" s="58"/>
      <c r="E84" s="58"/>
      <c r="F84" s="58"/>
      <c r="G84" s="14" t="s">
        <v>35</v>
      </c>
      <c r="H84" s="14" t="s">
        <v>163</v>
      </c>
      <c r="I84" s="15">
        <f>193000</f>
        <v>193000</v>
      </c>
      <c r="J84" s="59">
        <f>196382.13</f>
        <v>196382.13</v>
      </c>
      <c r="K84" s="59"/>
      <c r="L84" s="59"/>
      <c r="M84" s="59"/>
      <c r="N84" s="88">
        <f>-3382.13</f>
        <v>-3382.13</v>
      </c>
      <c r="O84" s="88"/>
    </row>
    <row r="85" spans="1:15" s="1" customFormat="1" ht="24" customHeight="1">
      <c r="A85" s="58" t="s">
        <v>54</v>
      </c>
      <c r="B85" s="58"/>
      <c r="C85" s="58"/>
      <c r="D85" s="58"/>
      <c r="E85" s="58"/>
      <c r="F85" s="58"/>
      <c r="G85" s="14" t="s">
        <v>35</v>
      </c>
      <c r="H85" s="14" t="s">
        <v>164</v>
      </c>
      <c r="I85" s="15">
        <f>64000</f>
        <v>64000</v>
      </c>
      <c r="J85" s="59">
        <f>259574.71</f>
        <v>259574.71</v>
      </c>
      <c r="K85" s="59"/>
      <c r="L85" s="59"/>
      <c r="M85" s="59"/>
      <c r="N85" s="88">
        <f>-195574.71</f>
        <v>-195574.71</v>
      </c>
      <c r="O85" s="88"/>
    </row>
    <row r="86" spans="1:15" s="1" customFormat="1" ht="13.5" customHeight="1">
      <c r="A86" s="84" t="s">
        <v>10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</row>
    <row r="87" spans="1:15" s="1" customFormat="1" ht="13.5" customHeight="1">
      <c r="A87" s="76" t="s">
        <v>165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</row>
    <row r="88" spans="1:15" s="1" customFormat="1" ht="34.5" customHeight="1">
      <c r="A88" s="85" t="s">
        <v>22</v>
      </c>
      <c r="B88" s="85"/>
      <c r="C88" s="85"/>
      <c r="D88" s="85"/>
      <c r="E88" s="85"/>
      <c r="F88" s="85"/>
      <c r="G88" s="8" t="s">
        <v>23</v>
      </c>
      <c r="H88" s="8" t="s">
        <v>166</v>
      </c>
      <c r="I88" s="9" t="s">
        <v>25</v>
      </c>
      <c r="J88" s="86" t="s">
        <v>26</v>
      </c>
      <c r="K88" s="86"/>
      <c r="L88" s="86"/>
      <c r="M88" s="86"/>
      <c r="N88" s="87" t="s">
        <v>27</v>
      </c>
      <c r="O88" s="87"/>
    </row>
    <row r="89" spans="1:15" s="1" customFormat="1" ht="13.5" customHeight="1">
      <c r="A89" s="63" t="s">
        <v>28</v>
      </c>
      <c r="B89" s="63"/>
      <c r="C89" s="63"/>
      <c r="D89" s="63"/>
      <c r="E89" s="63"/>
      <c r="F89" s="63"/>
      <c r="G89" s="10" t="s">
        <v>29</v>
      </c>
      <c r="H89" s="10" t="s">
        <v>30</v>
      </c>
      <c r="I89" s="11" t="s">
        <v>31</v>
      </c>
      <c r="J89" s="64" t="s">
        <v>32</v>
      </c>
      <c r="K89" s="64"/>
      <c r="L89" s="64"/>
      <c r="M89" s="64"/>
      <c r="N89" s="65" t="s">
        <v>33</v>
      </c>
      <c r="O89" s="65"/>
    </row>
    <row r="90" spans="1:15" s="1" customFormat="1" ht="13.5" customHeight="1">
      <c r="A90" s="68" t="s">
        <v>167</v>
      </c>
      <c r="B90" s="68"/>
      <c r="C90" s="68"/>
      <c r="D90" s="68"/>
      <c r="E90" s="68"/>
      <c r="F90" s="68"/>
      <c r="G90" s="12" t="s">
        <v>168</v>
      </c>
      <c r="H90" s="12" t="s">
        <v>36</v>
      </c>
      <c r="I90" s="13">
        <f>472578900.36</f>
        <v>472578900.36</v>
      </c>
      <c r="J90" s="69">
        <f>335020512.57</f>
        <v>335020512.57</v>
      </c>
      <c r="K90" s="69"/>
      <c r="L90" s="69"/>
      <c r="M90" s="69"/>
      <c r="N90" s="83">
        <f>137558387.79</f>
        <v>137558387.79</v>
      </c>
      <c r="O90" s="83"/>
    </row>
    <row r="91" spans="1:15" s="1" customFormat="1" ht="13.5" customHeight="1">
      <c r="A91" s="35" t="s">
        <v>169</v>
      </c>
      <c r="B91" s="35"/>
      <c r="C91" s="35"/>
      <c r="D91" s="35"/>
      <c r="E91" s="35"/>
      <c r="F91" s="35"/>
      <c r="G91" s="17" t="s">
        <v>168</v>
      </c>
      <c r="H91" s="17" t="s">
        <v>170</v>
      </c>
      <c r="I91" s="18">
        <f>1036600</f>
        <v>1036600</v>
      </c>
      <c r="J91" s="36">
        <f>738254.05</f>
        <v>738254.05</v>
      </c>
      <c r="K91" s="36"/>
      <c r="L91" s="36"/>
      <c r="M91" s="36"/>
      <c r="N91" s="82">
        <f>298345.95</f>
        <v>298345.95</v>
      </c>
      <c r="O91" s="82"/>
    </row>
    <row r="92" spans="1:15" s="1" customFormat="1" ht="33.75" customHeight="1">
      <c r="A92" s="35" t="s">
        <v>171</v>
      </c>
      <c r="B92" s="35"/>
      <c r="C92" s="35"/>
      <c r="D92" s="35"/>
      <c r="E92" s="35"/>
      <c r="F92" s="35"/>
      <c r="G92" s="17" t="s">
        <v>168</v>
      </c>
      <c r="H92" s="17" t="s">
        <v>172</v>
      </c>
      <c r="I92" s="18">
        <f>313100</f>
        <v>313100</v>
      </c>
      <c r="J92" s="36">
        <f>177308.26</f>
        <v>177308.26</v>
      </c>
      <c r="K92" s="36"/>
      <c r="L92" s="36"/>
      <c r="M92" s="36"/>
      <c r="N92" s="82">
        <f>135791.74</f>
        <v>135791.74</v>
      </c>
      <c r="O92" s="82"/>
    </row>
    <row r="93" spans="1:15" s="1" customFormat="1" ht="13.5" customHeight="1">
      <c r="A93" s="35" t="s">
        <v>169</v>
      </c>
      <c r="B93" s="35"/>
      <c r="C93" s="35"/>
      <c r="D93" s="35"/>
      <c r="E93" s="35"/>
      <c r="F93" s="35"/>
      <c r="G93" s="17" t="s">
        <v>168</v>
      </c>
      <c r="H93" s="17" t="s">
        <v>173</v>
      </c>
      <c r="I93" s="18">
        <f>260700</f>
        <v>260700</v>
      </c>
      <c r="J93" s="36">
        <f>215730.13</f>
        <v>215730.13</v>
      </c>
      <c r="K93" s="36"/>
      <c r="L93" s="36"/>
      <c r="M93" s="36"/>
      <c r="N93" s="82">
        <f>44969.87</f>
        <v>44969.87</v>
      </c>
      <c r="O93" s="82"/>
    </row>
    <row r="94" spans="1:15" s="1" customFormat="1" ht="24" customHeight="1">
      <c r="A94" s="35" t="s">
        <v>174</v>
      </c>
      <c r="B94" s="35"/>
      <c r="C94" s="35"/>
      <c r="D94" s="35"/>
      <c r="E94" s="35"/>
      <c r="F94" s="35"/>
      <c r="G94" s="17" t="s">
        <v>168</v>
      </c>
      <c r="H94" s="17" t="s">
        <v>175</v>
      </c>
      <c r="I94" s="18">
        <f>43000</f>
        <v>43000</v>
      </c>
      <c r="J94" s="36">
        <f>29500</f>
        <v>29500</v>
      </c>
      <c r="K94" s="36"/>
      <c r="L94" s="36"/>
      <c r="M94" s="36"/>
      <c r="N94" s="82">
        <f>13500</f>
        <v>13500</v>
      </c>
      <c r="O94" s="82"/>
    </row>
    <row r="95" spans="1:15" s="1" customFormat="1" ht="33.75" customHeight="1">
      <c r="A95" s="35" t="s">
        <v>171</v>
      </c>
      <c r="B95" s="35"/>
      <c r="C95" s="35"/>
      <c r="D95" s="35"/>
      <c r="E95" s="35"/>
      <c r="F95" s="35"/>
      <c r="G95" s="17" t="s">
        <v>168</v>
      </c>
      <c r="H95" s="17" t="s">
        <v>176</v>
      </c>
      <c r="I95" s="18">
        <f>78700</f>
        <v>78700</v>
      </c>
      <c r="J95" s="36">
        <f>57802.29</f>
        <v>57802.29</v>
      </c>
      <c r="K95" s="36"/>
      <c r="L95" s="36"/>
      <c r="M95" s="36"/>
      <c r="N95" s="82">
        <f>20897.71</f>
        <v>20897.71</v>
      </c>
      <c r="O95" s="82"/>
    </row>
    <row r="96" spans="1:15" s="1" customFormat="1" ht="24" customHeight="1">
      <c r="A96" s="35" t="s">
        <v>177</v>
      </c>
      <c r="B96" s="35"/>
      <c r="C96" s="35"/>
      <c r="D96" s="35"/>
      <c r="E96" s="35"/>
      <c r="F96" s="35"/>
      <c r="G96" s="17" t="s">
        <v>168</v>
      </c>
      <c r="H96" s="17" t="s">
        <v>178</v>
      </c>
      <c r="I96" s="18">
        <f>19000</f>
        <v>19000</v>
      </c>
      <c r="J96" s="36">
        <f>4450</f>
        <v>4450</v>
      </c>
      <c r="K96" s="36"/>
      <c r="L96" s="36"/>
      <c r="M96" s="36"/>
      <c r="N96" s="82">
        <f>14550</f>
        <v>14550</v>
      </c>
      <c r="O96" s="82"/>
    </row>
    <row r="97" spans="1:15" s="1" customFormat="1" ht="24" customHeight="1">
      <c r="A97" s="35" t="s">
        <v>179</v>
      </c>
      <c r="B97" s="35"/>
      <c r="C97" s="35"/>
      <c r="D97" s="35"/>
      <c r="E97" s="35"/>
      <c r="F97" s="35"/>
      <c r="G97" s="17" t="s">
        <v>168</v>
      </c>
      <c r="H97" s="17" t="s">
        <v>180</v>
      </c>
      <c r="I97" s="18">
        <f>120100</f>
        <v>120100</v>
      </c>
      <c r="J97" s="36">
        <f>107195.6</f>
        <v>107195.6</v>
      </c>
      <c r="K97" s="36"/>
      <c r="L97" s="36"/>
      <c r="M97" s="36"/>
      <c r="N97" s="82">
        <f>12904.4</f>
        <v>12904.4</v>
      </c>
      <c r="O97" s="82"/>
    </row>
    <row r="98" spans="1:15" s="1" customFormat="1" ht="13.5" customHeight="1">
      <c r="A98" s="35" t="s">
        <v>169</v>
      </c>
      <c r="B98" s="35"/>
      <c r="C98" s="35"/>
      <c r="D98" s="35"/>
      <c r="E98" s="35"/>
      <c r="F98" s="35"/>
      <c r="G98" s="17" t="s">
        <v>168</v>
      </c>
      <c r="H98" s="17" t="s">
        <v>181</v>
      </c>
      <c r="I98" s="18">
        <f>1036600</f>
        <v>1036600</v>
      </c>
      <c r="J98" s="36">
        <f>784655.05</f>
        <v>784655.05</v>
      </c>
      <c r="K98" s="36"/>
      <c r="L98" s="36"/>
      <c r="M98" s="36"/>
      <c r="N98" s="82">
        <f>251944.95</f>
        <v>251944.95</v>
      </c>
      <c r="O98" s="82"/>
    </row>
    <row r="99" spans="1:15" s="1" customFormat="1" ht="33.75" customHeight="1">
      <c r="A99" s="35" t="s">
        <v>171</v>
      </c>
      <c r="B99" s="35"/>
      <c r="C99" s="35"/>
      <c r="D99" s="35"/>
      <c r="E99" s="35"/>
      <c r="F99" s="35"/>
      <c r="G99" s="17" t="s">
        <v>168</v>
      </c>
      <c r="H99" s="17" t="s">
        <v>182</v>
      </c>
      <c r="I99" s="18">
        <f>313100</f>
        <v>313100</v>
      </c>
      <c r="J99" s="36">
        <f>199840.28</f>
        <v>199840.28</v>
      </c>
      <c r="K99" s="36"/>
      <c r="L99" s="36"/>
      <c r="M99" s="36"/>
      <c r="N99" s="82">
        <f>113259.72</f>
        <v>113259.72</v>
      </c>
      <c r="O99" s="82"/>
    </row>
    <row r="100" spans="1:15" s="1" customFormat="1" ht="24" customHeight="1">
      <c r="A100" s="35" t="s">
        <v>174</v>
      </c>
      <c r="B100" s="35"/>
      <c r="C100" s="35"/>
      <c r="D100" s="35"/>
      <c r="E100" s="35"/>
      <c r="F100" s="35"/>
      <c r="G100" s="17" t="s">
        <v>168</v>
      </c>
      <c r="H100" s="17" t="s">
        <v>183</v>
      </c>
      <c r="I100" s="18">
        <f>6000</f>
        <v>6000</v>
      </c>
      <c r="J100" s="44" t="s">
        <v>51</v>
      </c>
      <c r="K100" s="44"/>
      <c r="L100" s="44"/>
      <c r="M100" s="44"/>
      <c r="N100" s="82">
        <f>6000</f>
        <v>6000</v>
      </c>
      <c r="O100" s="82"/>
    </row>
    <row r="101" spans="1:15" s="1" customFormat="1" ht="33.75" customHeight="1">
      <c r="A101" s="35" t="s">
        <v>184</v>
      </c>
      <c r="B101" s="35"/>
      <c r="C101" s="35"/>
      <c r="D101" s="35"/>
      <c r="E101" s="35"/>
      <c r="F101" s="35"/>
      <c r="G101" s="17" t="s">
        <v>168</v>
      </c>
      <c r="H101" s="17" t="s">
        <v>185</v>
      </c>
      <c r="I101" s="18">
        <f>108000</f>
        <v>108000</v>
      </c>
      <c r="J101" s="36">
        <f>50000</f>
        <v>50000</v>
      </c>
      <c r="K101" s="36"/>
      <c r="L101" s="36"/>
      <c r="M101" s="36"/>
      <c r="N101" s="82">
        <f>58000</f>
        <v>58000</v>
      </c>
      <c r="O101" s="82"/>
    </row>
    <row r="102" spans="1:15" s="1" customFormat="1" ht="13.5" customHeight="1">
      <c r="A102" s="35" t="s">
        <v>169</v>
      </c>
      <c r="B102" s="35"/>
      <c r="C102" s="35"/>
      <c r="D102" s="35"/>
      <c r="E102" s="35"/>
      <c r="F102" s="35"/>
      <c r="G102" s="17" t="s">
        <v>168</v>
      </c>
      <c r="H102" s="17" t="s">
        <v>186</v>
      </c>
      <c r="I102" s="18">
        <f>100</f>
        <v>100</v>
      </c>
      <c r="J102" s="36">
        <f>100</f>
        <v>100</v>
      </c>
      <c r="K102" s="36"/>
      <c r="L102" s="36"/>
      <c r="M102" s="36"/>
      <c r="N102" s="82">
        <f>0</f>
        <v>0</v>
      </c>
      <c r="O102" s="82"/>
    </row>
    <row r="103" spans="1:15" s="1" customFormat="1" ht="13.5" customHeight="1">
      <c r="A103" s="35" t="s">
        <v>169</v>
      </c>
      <c r="B103" s="35"/>
      <c r="C103" s="35"/>
      <c r="D103" s="35"/>
      <c r="E103" s="35"/>
      <c r="F103" s="35"/>
      <c r="G103" s="17" t="s">
        <v>168</v>
      </c>
      <c r="H103" s="17" t="s">
        <v>187</v>
      </c>
      <c r="I103" s="18">
        <f>61450</f>
        <v>61450</v>
      </c>
      <c r="J103" s="36">
        <f>35796</f>
        <v>35796</v>
      </c>
      <c r="K103" s="36"/>
      <c r="L103" s="36"/>
      <c r="M103" s="36"/>
      <c r="N103" s="82">
        <f>25654</f>
        <v>25654</v>
      </c>
      <c r="O103" s="82"/>
    </row>
    <row r="104" spans="1:15" s="1" customFormat="1" ht="33.75" customHeight="1">
      <c r="A104" s="35" t="s">
        <v>171</v>
      </c>
      <c r="B104" s="35"/>
      <c r="C104" s="35"/>
      <c r="D104" s="35"/>
      <c r="E104" s="35"/>
      <c r="F104" s="35"/>
      <c r="G104" s="17" t="s">
        <v>168</v>
      </c>
      <c r="H104" s="17" t="s">
        <v>188</v>
      </c>
      <c r="I104" s="18">
        <f>18550</f>
        <v>18550</v>
      </c>
      <c r="J104" s="36">
        <f>10384.42</f>
        <v>10384.42</v>
      </c>
      <c r="K104" s="36"/>
      <c r="L104" s="36"/>
      <c r="M104" s="36"/>
      <c r="N104" s="82">
        <f>8165.58</f>
        <v>8165.58</v>
      </c>
      <c r="O104" s="82"/>
    </row>
    <row r="105" spans="1:15" s="1" customFormat="1" ht="13.5" customHeight="1">
      <c r="A105" s="35" t="s">
        <v>169</v>
      </c>
      <c r="B105" s="35"/>
      <c r="C105" s="35"/>
      <c r="D105" s="35"/>
      <c r="E105" s="35"/>
      <c r="F105" s="35"/>
      <c r="G105" s="17" t="s">
        <v>168</v>
      </c>
      <c r="H105" s="17" t="s">
        <v>189</v>
      </c>
      <c r="I105" s="18">
        <f>496460</f>
        <v>496460</v>
      </c>
      <c r="J105" s="36">
        <f>391354.97</f>
        <v>391354.97</v>
      </c>
      <c r="K105" s="36"/>
      <c r="L105" s="36"/>
      <c r="M105" s="36"/>
      <c r="N105" s="82">
        <f>105105.03</f>
        <v>105105.03</v>
      </c>
      <c r="O105" s="82"/>
    </row>
    <row r="106" spans="1:15" s="1" customFormat="1" ht="24" customHeight="1">
      <c r="A106" s="35" t="s">
        <v>174</v>
      </c>
      <c r="B106" s="35"/>
      <c r="C106" s="35"/>
      <c r="D106" s="35"/>
      <c r="E106" s="35"/>
      <c r="F106" s="35"/>
      <c r="G106" s="17" t="s">
        <v>168</v>
      </c>
      <c r="H106" s="17" t="s">
        <v>190</v>
      </c>
      <c r="I106" s="18">
        <f>21300</f>
        <v>21300</v>
      </c>
      <c r="J106" s="36">
        <f>13500</f>
        <v>13500</v>
      </c>
      <c r="K106" s="36"/>
      <c r="L106" s="36"/>
      <c r="M106" s="36"/>
      <c r="N106" s="82">
        <f>7800</f>
        <v>7800</v>
      </c>
      <c r="O106" s="82"/>
    </row>
    <row r="107" spans="1:15" s="1" customFormat="1" ht="33.75" customHeight="1">
      <c r="A107" s="35" t="s">
        <v>171</v>
      </c>
      <c r="B107" s="35"/>
      <c r="C107" s="35"/>
      <c r="D107" s="35"/>
      <c r="E107" s="35"/>
      <c r="F107" s="35"/>
      <c r="G107" s="17" t="s">
        <v>168</v>
      </c>
      <c r="H107" s="17" t="s">
        <v>191</v>
      </c>
      <c r="I107" s="18">
        <f>149940</f>
        <v>149940</v>
      </c>
      <c r="J107" s="36">
        <f>116946.28</f>
        <v>116946.28</v>
      </c>
      <c r="K107" s="36"/>
      <c r="L107" s="36"/>
      <c r="M107" s="36"/>
      <c r="N107" s="82">
        <f>32993.72</f>
        <v>32993.72</v>
      </c>
      <c r="O107" s="82"/>
    </row>
    <row r="108" spans="1:15" s="1" customFormat="1" ht="24" customHeight="1">
      <c r="A108" s="35" t="s">
        <v>177</v>
      </c>
      <c r="B108" s="35"/>
      <c r="C108" s="35"/>
      <c r="D108" s="35"/>
      <c r="E108" s="35"/>
      <c r="F108" s="35"/>
      <c r="G108" s="17" t="s">
        <v>168</v>
      </c>
      <c r="H108" s="17" t="s">
        <v>192</v>
      </c>
      <c r="I108" s="18">
        <f>41925</f>
        <v>41925</v>
      </c>
      <c r="J108" s="36">
        <f>9650</f>
        <v>9650</v>
      </c>
      <c r="K108" s="36"/>
      <c r="L108" s="36"/>
      <c r="M108" s="36"/>
      <c r="N108" s="82">
        <f>32275</f>
        <v>32275</v>
      </c>
      <c r="O108" s="82"/>
    </row>
    <row r="109" spans="1:15" s="1" customFormat="1" ht="24" customHeight="1">
      <c r="A109" s="35" t="s">
        <v>179</v>
      </c>
      <c r="B109" s="35"/>
      <c r="C109" s="35"/>
      <c r="D109" s="35"/>
      <c r="E109" s="35"/>
      <c r="F109" s="35"/>
      <c r="G109" s="17" t="s">
        <v>168</v>
      </c>
      <c r="H109" s="17" t="s">
        <v>193</v>
      </c>
      <c r="I109" s="18">
        <f>113375</f>
        <v>113375</v>
      </c>
      <c r="J109" s="36">
        <f>37147</f>
        <v>37147</v>
      </c>
      <c r="K109" s="36"/>
      <c r="L109" s="36"/>
      <c r="M109" s="36"/>
      <c r="N109" s="82">
        <f>76228</f>
        <v>76228</v>
      </c>
      <c r="O109" s="82"/>
    </row>
    <row r="110" spans="1:15" s="1" customFormat="1" ht="13.5" customHeight="1">
      <c r="A110" s="35" t="s">
        <v>169</v>
      </c>
      <c r="B110" s="35"/>
      <c r="C110" s="35"/>
      <c r="D110" s="35"/>
      <c r="E110" s="35"/>
      <c r="F110" s="35"/>
      <c r="G110" s="17" t="s">
        <v>168</v>
      </c>
      <c r="H110" s="17" t="s">
        <v>194</v>
      </c>
      <c r="I110" s="18">
        <f>7384512</f>
        <v>7384512</v>
      </c>
      <c r="J110" s="36">
        <f>5702927.48</f>
        <v>5702927.48</v>
      </c>
      <c r="K110" s="36"/>
      <c r="L110" s="36"/>
      <c r="M110" s="36"/>
      <c r="N110" s="82">
        <f>1681584.52</f>
        <v>1681584.52</v>
      </c>
      <c r="O110" s="82"/>
    </row>
    <row r="111" spans="1:15" s="1" customFormat="1" ht="33.75" customHeight="1">
      <c r="A111" s="35" t="s">
        <v>171</v>
      </c>
      <c r="B111" s="35"/>
      <c r="C111" s="35"/>
      <c r="D111" s="35"/>
      <c r="E111" s="35"/>
      <c r="F111" s="35"/>
      <c r="G111" s="17" t="s">
        <v>168</v>
      </c>
      <c r="H111" s="17" t="s">
        <v>195</v>
      </c>
      <c r="I111" s="18">
        <f>2230094</f>
        <v>2230094</v>
      </c>
      <c r="J111" s="36">
        <f>1991081.71</f>
        <v>1991081.71</v>
      </c>
      <c r="K111" s="36"/>
      <c r="L111" s="36"/>
      <c r="M111" s="36"/>
      <c r="N111" s="82">
        <f>239012.29</f>
        <v>239012.29</v>
      </c>
      <c r="O111" s="82"/>
    </row>
    <row r="112" spans="1:15" s="1" customFormat="1" ht="13.5" customHeight="1">
      <c r="A112" s="35" t="s">
        <v>169</v>
      </c>
      <c r="B112" s="35"/>
      <c r="C112" s="35"/>
      <c r="D112" s="35"/>
      <c r="E112" s="35"/>
      <c r="F112" s="35"/>
      <c r="G112" s="17" t="s">
        <v>168</v>
      </c>
      <c r="H112" s="17" t="s">
        <v>196</v>
      </c>
      <c r="I112" s="18">
        <f>2908928</f>
        <v>2908928</v>
      </c>
      <c r="J112" s="36">
        <f>2139472.25</f>
        <v>2139472.25</v>
      </c>
      <c r="K112" s="36"/>
      <c r="L112" s="36"/>
      <c r="M112" s="36"/>
      <c r="N112" s="82">
        <f>769455.75</f>
        <v>769455.75</v>
      </c>
      <c r="O112" s="82"/>
    </row>
    <row r="113" spans="1:15" s="1" customFormat="1" ht="24" customHeight="1">
      <c r="A113" s="35" t="s">
        <v>174</v>
      </c>
      <c r="B113" s="35"/>
      <c r="C113" s="35"/>
      <c r="D113" s="35"/>
      <c r="E113" s="35"/>
      <c r="F113" s="35"/>
      <c r="G113" s="17" t="s">
        <v>168</v>
      </c>
      <c r="H113" s="17" t="s">
        <v>197</v>
      </c>
      <c r="I113" s="18">
        <f>540000</f>
        <v>540000</v>
      </c>
      <c r="J113" s="36">
        <f>378668.09</f>
        <v>378668.09</v>
      </c>
      <c r="K113" s="36"/>
      <c r="L113" s="36"/>
      <c r="M113" s="36"/>
      <c r="N113" s="82">
        <f>161331.91</f>
        <v>161331.91</v>
      </c>
      <c r="O113" s="82"/>
    </row>
    <row r="114" spans="1:15" s="1" customFormat="1" ht="33.75" customHeight="1">
      <c r="A114" s="35" t="s">
        <v>171</v>
      </c>
      <c r="B114" s="35"/>
      <c r="C114" s="35"/>
      <c r="D114" s="35"/>
      <c r="E114" s="35"/>
      <c r="F114" s="35"/>
      <c r="G114" s="17" t="s">
        <v>168</v>
      </c>
      <c r="H114" s="17" t="s">
        <v>198</v>
      </c>
      <c r="I114" s="18">
        <f>878499</f>
        <v>878499</v>
      </c>
      <c r="J114" s="36">
        <f>598851.43</f>
        <v>598851.43</v>
      </c>
      <c r="K114" s="36"/>
      <c r="L114" s="36"/>
      <c r="M114" s="36"/>
      <c r="N114" s="82">
        <f>279647.57</f>
        <v>279647.57</v>
      </c>
      <c r="O114" s="82"/>
    </row>
    <row r="115" spans="1:15" s="1" customFormat="1" ht="24" customHeight="1">
      <c r="A115" s="35" t="s">
        <v>177</v>
      </c>
      <c r="B115" s="35"/>
      <c r="C115" s="35"/>
      <c r="D115" s="35"/>
      <c r="E115" s="35"/>
      <c r="F115" s="35"/>
      <c r="G115" s="17" t="s">
        <v>168</v>
      </c>
      <c r="H115" s="17" t="s">
        <v>199</v>
      </c>
      <c r="I115" s="18">
        <f>307000</f>
        <v>307000</v>
      </c>
      <c r="J115" s="36">
        <f>214869.17</f>
        <v>214869.17</v>
      </c>
      <c r="K115" s="36"/>
      <c r="L115" s="36"/>
      <c r="M115" s="36"/>
      <c r="N115" s="82">
        <f>92130.83</f>
        <v>92130.83</v>
      </c>
      <c r="O115" s="82"/>
    </row>
    <row r="116" spans="1:15" s="1" customFormat="1" ht="24" customHeight="1">
      <c r="A116" s="35" t="s">
        <v>179</v>
      </c>
      <c r="B116" s="35"/>
      <c r="C116" s="35"/>
      <c r="D116" s="35"/>
      <c r="E116" s="35"/>
      <c r="F116" s="35"/>
      <c r="G116" s="17" t="s">
        <v>168</v>
      </c>
      <c r="H116" s="17" t="s">
        <v>200</v>
      </c>
      <c r="I116" s="18">
        <f>3466550</f>
        <v>3466550</v>
      </c>
      <c r="J116" s="36">
        <f>2407369.06</f>
        <v>2407369.06</v>
      </c>
      <c r="K116" s="36"/>
      <c r="L116" s="36"/>
      <c r="M116" s="36"/>
      <c r="N116" s="82">
        <f>1059180.94</f>
        <v>1059180.94</v>
      </c>
      <c r="O116" s="82"/>
    </row>
    <row r="117" spans="1:15" s="1" customFormat="1" ht="13.5" customHeight="1">
      <c r="A117" s="35" t="s">
        <v>201</v>
      </c>
      <c r="B117" s="35"/>
      <c r="C117" s="35"/>
      <c r="D117" s="35"/>
      <c r="E117" s="35"/>
      <c r="F117" s="35"/>
      <c r="G117" s="17" t="s">
        <v>168</v>
      </c>
      <c r="H117" s="17" t="s">
        <v>202</v>
      </c>
      <c r="I117" s="18">
        <f>150000</f>
        <v>150000</v>
      </c>
      <c r="J117" s="36">
        <f>65469</f>
        <v>65469</v>
      </c>
      <c r="K117" s="36"/>
      <c r="L117" s="36"/>
      <c r="M117" s="36"/>
      <c r="N117" s="82">
        <f>84531</f>
        <v>84531</v>
      </c>
      <c r="O117" s="82"/>
    </row>
    <row r="118" spans="1:15" s="1" customFormat="1" ht="13.5" customHeight="1">
      <c r="A118" s="35" t="s">
        <v>203</v>
      </c>
      <c r="B118" s="35"/>
      <c r="C118" s="35"/>
      <c r="D118" s="35"/>
      <c r="E118" s="35"/>
      <c r="F118" s="35"/>
      <c r="G118" s="17" t="s">
        <v>168</v>
      </c>
      <c r="H118" s="17" t="s">
        <v>204</v>
      </c>
      <c r="I118" s="18">
        <f>29807.59</f>
        <v>29807.59</v>
      </c>
      <c r="J118" s="36">
        <f>18681.02</f>
        <v>18681.02</v>
      </c>
      <c r="K118" s="36"/>
      <c r="L118" s="36"/>
      <c r="M118" s="36"/>
      <c r="N118" s="82">
        <f>11126.57</f>
        <v>11126.57</v>
      </c>
      <c r="O118" s="82"/>
    </row>
    <row r="119" spans="1:15" s="1" customFormat="1" ht="13.5" customHeight="1">
      <c r="A119" s="35" t="s">
        <v>205</v>
      </c>
      <c r="B119" s="35"/>
      <c r="C119" s="35"/>
      <c r="D119" s="35"/>
      <c r="E119" s="35"/>
      <c r="F119" s="35"/>
      <c r="G119" s="17" t="s">
        <v>168</v>
      </c>
      <c r="H119" s="17" t="s">
        <v>206</v>
      </c>
      <c r="I119" s="18">
        <f>192.41</f>
        <v>192.41</v>
      </c>
      <c r="J119" s="36">
        <f>192.41</f>
        <v>192.41</v>
      </c>
      <c r="K119" s="36"/>
      <c r="L119" s="36"/>
      <c r="M119" s="36"/>
      <c r="N119" s="82">
        <f>0</f>
        <v>0</v>
      </c>
      <c r="O119" s="82"/>
    </row>
    <row r="120" spans="1:15" s="1" customFormat="1" ht="24" customHeight="1">
      <c r="A120" s="35" t="s">
        <v>179</v>
      </c>
      <c r="B120" s="35"/>
      <c r="C120" s="35"/>
      <c r="D120" s="35"/>
      <c r="E120" s="35"/>
      <c r="F120" s="35"/>
      <c r="G120" s="17" t="s">
        <v>168</v>
      </c>
      <c r="H120" s="17" t="s">
        <v>207</v>
      </c>
      <c r="I120" s="18">
        <f>13209</f>
        <v>13209</v>
      </c>
      <c r="J120" s="44" t="s">
        <v>51</v>
      </c>
      <c r="K120" s="44"/>
      <c r="L120" s="44"/>
      <c r="M120" s="44"/>
      <c r="N120" s="82">
        <f>13209</f>
        <v>13209</v>
      </c>
      <c r="O120" s="82"/>
    </row>
    <row r="121" spans="1:15" s="1" customFormat="1" ht="13.5" customHeight="1">
      <c r="A121" s="35" t="s">
        <v>169</v>
      </c>
      <c r="B121" s="35"/>
      <c r="C121" s="35"/>
      <c r="D121" s="35"/>
      <c r="E121" s="35"/>
      <c r="F121" s="35"/>
      <c r="G121" s="17" t="s">
        <v>168</v>
      </c>
      <c r="H121" s="17" t="s">
        <v>208</v>
      </c>
      <c r="I121" s="18">
        <f>466900</f>
        <v>466900</v>
      </c>
      <c r="J121" s="36">
        <f>349491.14</f>
        <v>349491.14</v>
      </c>
      <c r="K121" s="36"/>
      <c r="L121" s="36"/>
      <c r="M121" s="36"/>
      <c r="N121" s="82">
        <f>117408.86</f>
        <v>117408.86</v>
      </c>
      <c r="O121" s="82"/>
    </row>
    <row r="122" spans="1:15" s="1" customFormat="1" ht="24" customHeight="1">
      <c r="A122" s="35" t="s">
        <v>174</v>
      </c>
      <c r="B122" s="35"/>
      <c r="C122" s="35"/>
      <c r="D122" s="35"/>
      <c r="E122" s="35"/>
      <c r="F122" s="35"/>
      <c r="G122" s="17" t="s">
        <v>168</v>
      </c>
      <c r="H122" s="17" t="s">
        <v>209</v>
      </c>
      <c r="I122" s="18">
        <f>12600</f>
        <v>12600</v>
      </c>
      <c r="J122" s="36">
        <f>12600</f>
        <v>12600</v>
      </c>
      <c r="K122" s="36"/>
      <c r="L122" s="36"/>
      <c r="M122" s="36"/>
      <c r="N122" s="82">
        <f>0</f>
        <v>0</v>
      </c>
      <c r="O122" s="82"/>
    </row>
    <row r="123" spans="1:15" s="1" customFormat="1" ht="33.75" customHeight="1">
      <c r="A123" s="35" t="s">
        <v>171</v>
      </c>
      <c r="B123" s="35"/>
      <c r="C123" s="35"/>
      <c r="D123" s="35"/>
      <c r="E123" s="35"/>
      <c r="F123" s="35"/>
      <c r="G123" s="17" t="s">
        <v>168</v>
      </c>
      <c r="H123" s="17" t="s">
        <v>210</v>
      </c>
      <c r="I123" s="18">
        <f>141010</f>
        <v>141010</v>
      </c>
      <c r="J123" s="36">
        <f>100231.54</f>
        <v>100231.54</v>
      </c>
      <c r="K123" s="36"/>
      <c r="L123" s="36"/>
      <c r="M123" s="36"/>
      <c r="N123" s="82">
        <f>40778.46</f>
        <v>40778.46</v>
      </c>
      <c r="O123" s="82"/>
    </row>
    <row r="124" spans="1:15" s="1" customFormat="1" ht="24" customHeight="1">
      <c r="A124" s="35" t="s">
        <v>177</v>
      </c>
      <c r="B124" s="35"/>
      <c r="C124" s="35"/>
      <c r="D124" s="35"/>
      <c r="E124" s="35"/>
      <c r="F124" s="35"/>
      <c r="G124" s="17" t="s">
        <v>168</v>
      </c>
      <c r="H124" s="17" t="s">
        <v>211</v>
      </c>
      <c r="I124" s="18">
        <f>2500</f>
        <v>2500</v>
      </c>
      <c r="J124" s="36">
        <f>1650</f>
        <v>1650</v>
      </c>
      <c r="K124" s="36"/>
      <c r="L124" s="36"/>
      <c r="M124" s="36"/>
      <c r="N124" s="82">
        <f>850</f>
        <v>850</v>
      </c>
      <c r="O124" s="82"/>
    </row>
    <row r="125" spans="1:15" s="1" customFormat="1" ht="24" customHeight="1">
      <c r="A125" s="35" t="s">
        <v>179</v>
      </c>
      <c r="B125" s="35"/>
      <c r="C125" s="35"/>
      <c r="D125" s="35"/>
      <c r="E125" s="35"/>
      <c r="F125" s="35"/>
      <c r="G125" s="17" t="s">
        <v>168</v>
      </c>
      <c r="H125" s="17" t="s">
        <v>212</v>
      </c>
      <c r="I125" s="18">
        <f>20000</f>
        <v>20000</v>
      </c>
      <c r="J125" s="36">
        <f>19617.38</f>
        <v>19617.38</v>
      </c>
      <c r="K125" s="36"/>
      <c r="L125" s="36"/>
      <c r="M125" s="36"/>
      <c r="N125" s="82">
        <f>382.62</f>
        <v>382.62</v>
      </c>
      <c r="O125" s="82"/>
    </row>
    <row r="126" spans="1:15" s="1" customFormat="1" ht="13.5" customHeight="1">
      <c r="A126" s="35" t="s">
        <v>214</v>
      </c>
      <c r="B126" s="35"/>
      <c r="C126" s="35"/>
      <c r="D126" s="35"/>
      <c r="E126" s="35"/>
      <c r="F126" s="35"/>
      <c r="G126" s="17" t="s">
        <v>168</v>
      </c>
      <c r="H126" s="17" t="s">
        <v>215</v>
      </c>
      <c r="I126" s="18">
        <f>150000</f>
        <v>150000</v>
      </c>
      <c r="J126" s="44" t="s">
        <v>51</v>
      </c>
      <c r="K126" s="44"/>
      <c r="L126" s="44"/>
      <c r="M126" s="44"/>
      <c r="N126" s="82">
        <f>150000</f>
        <v>150000</v>
      </c>
      <c r="O126" s="82"/>
    </row>
    <row r="127" spans="1:15" s="1" customFormat="1" ht="24" customHeight="1">
      <c r="A127" s="35" t="s">
        <v>179</v>
      </c>
      <c r="B127" s="35"/>
      <c r="C127" s="35"/>
      <c r="D127" s="35"/>
      <c r="E127" s="35"/>
      <c r="F127" s="35"/>
      <c r="G127" s="17" t="s">
        <v>168</v>
      </c>
      <c r="H127" s="17" t="s">
        <v>216</v>
      </c>
      <c r="I127" s="18">
        <f>240000</f>
        <v>240000</v>
      </c>
      <c r="J127" s="36">
        <f>142000</f>
        <v>142000</v>
      </c>
      <c r="K127" s="36"/>
      <c r="L127" s="36"/>
      <c r="M127" s="36"/>
      <c r="N127" s="82">
        <f>98000</f>
        <v>98000</v>
      </c>
      <c r="O127" s="82"/>
    </row>
    <row r="128" spans="1:15" s="1" customFormat="1" ht="24" customHeight="1">
      <c r="A128" s="35" t="s">
        <v>177</v>
      </c>
      <c r="B128" s="35"/>
      <c r="C128" s="35"/>
      <c r="D128" s="35"/>
      <c r="E128" s="35"/>
      <c r="F128" s="35"/>
      <c r="G128" s="17" t="s">
        <v>168</v>
      </c>
      <c r="H128" s="17" t="s">
        <v>217</v>
      </c>
      <c r="I128" s="18">
        <f>7830</f>
        <v>7830</v>
      </c>
      <c r="J128" s="36">
        <f>1285.02</f>
        <v>1285.02</v>
      </c>
      <c r="K128" s="36"/>
      <c r="L128" s="36"/>
      <c r="M128" s="36"/>
      <c r="N128" s="82">
        <f>6544.98</f>
        <v>6544.98</v>
      </c>
      <c r="O128" s="82"/>
    </row>
    <row r="129" spans="1:15" s="1" customFormat="1" ht="24" customHeight="1">
      <c r="A129" s="35" t="s">
        <v>179</v>
      </c>
      <c r="B129" s="35"/>
      <c r="C129" s="35"/>
      <c r="D129" s="35"/>
      <c r="E129" s="35"/>
      <c r="F129" s="35"/>
      <c r="G129" s="17" t="s">
        <v>168</v>
      </c>
      <c r="H129" s="17" t="s">
        <v>218</v>
      </c>
      <c r="I129" s="18">
        <f>733240</f>
        <v>733240</v>
      </c>
      <c r="J129" s="36">
        <f>494154.29</f>
        <v>494154.29</v>
      </c>
      <c r="K129" s="36"/>
      <c r="L129" s="36"/>
      <c r="M129" s="36"/>
      <c r="N129" s="82">
        <f>239085.71</f>
        <v>239085.71</v>
      </c>
      <c r="O129" s="82"/>
    </row>
    <row r="130" spans="1:15" s="1" customFormat="1" ht="13.5" customHeight="1">
      <c r="A130" s="35" t="s">
        <v>219</v>
      </c>
      <c r="B130" s="35"/>
      <c r="C130" s="35"/>
      <c r="D130" s="35"/>
      <c r="E130" s="35"/>
      <c r="F130" s="35"/>
      <c r="G130" s="17" t="s">
        <v>168</v>
      </c>
      <c r="H130" s="17" t="s">
        <v>220</v>
      </c>
      <c r="I130" s="18">
        <f>1287402</f>
        <v>1287402</v>
      </c>
      <c r="J130" s="36">
        <f>924276.68</f>
        <v>924276.68</v>
      </c>
      <c r="K130" s="36"/>
      <c r="L130" s="36"/>
      <c r="M130" s="36"/>
      <c r="N130" s="82">
        <f>363125.32</f>
        <v>363125.32</v>
      </c>
      <c r="O130" s="82"/>
    </row>
    <row r="131" spans="1:15" s="1" customFormat="1" ht="24" customHeight="1">
      <c r="A131" s="35" t="s">
        <v>221</v>
      </c>
      <c r="B131" s="35"/>
      <c r="C131" s="35"/>
      <c r="D131" s="35"/>
      <c r="E131" s="35"/>
      <c r="F131" s="35"/>
      <c r="G131" s="17" t="s">
        <v>168</v>
      </c>
      <c r="H131" s="17" t="s">
        <v>222</v>
      </c>
      <c r="I131" s="18">
        <f>51800</f>
        <v>51800</v>
      </c>
      <c r="J131" s="36">
        <f>7600</f>
        <v>7600</v>
      </c>
      <c r="K131" s="36"/>
      <c r="L131" s="36"/>
      <c r="M131" s="36"/>
      <c r="N131" s="82">
        <f>44200</f>
        <v>44200</v>
      </c>
      <c r="O131" s="82"/>
    </row>
    <row r="132" spans="1:15" s="1" customFormat="1" ht="24" customHeight="1">
      <c r="A132" s="35" t="s">
        <v>223</v>
      </c>
      <c r="B132" s="35"/>
      <c r="C132" s="35"/>
      <c r="D132" s="35"/>
      <c r="E132" s="35"/>
      <c r="F132" s="35"/>
      <c r="G132" s="17" t="s">
        <v>168</v>
      </c>
      <c r="H132" s="17" t="s">
        <v>224</v>
      </c>
      <c r="I132" s="18">
        <f>388795</f>
        <v>388795</v>
      </c>
      <c r="J132" s="36">
        <f>284768.34</f>
        <v>284768.34</v>
      </c>
      <c r="K132" s="36"/>
      <c r="L132" s="36"/>
      <c r="M132" s="36"/>
      <c r="N132" s="82">
        <f>104026.66</f>
        <v>104026.66</v>
      </c>
      <c r="O132" s="82"/>
    </row>
    <row r="133" spans="1:15" s="1" customFormat="1" ht="24" customHeight="1">
      <c r="A133" s="35" t="s">
        <v>177</v>
      </c>
      <c r="B133" s="35"/>
      <c r="C133" s="35"/>
      <c r="D133" s="35"/>
      <c r="E133" s="35"/>
      <c r="F133" s="35"/>
      <c r="G133" s="17" t="s">
        <v>168</v>
      </c>
      <c r="H133" s="17" t="s">
        <v>225</v>
      </c>
      <c r="I133" s="18">
        <f>100000</f>
        <v>100000</v>
      </c>
      <c r="J133" s="36">
        <f>62587.01</f>
        <v>62587.01</v>
      </c>
      <c r="K133" s="36"/>
      <c r="L133" s="36"/>
      <c r="M133" s="36"/>
      <c r="N133" s="82">
        <f>37412.99</f>
        <v>37412.99</v>
      </c>
      <c r="O133" s="82"/>
    </row>
    <row r="134" spans="1:15" s="1" customFormat="1" ht="24" customHeight="1">
      <c r="A134" s="35" t="s">
        <v>179</v>
      </c>
      <c r="B134" s="35"/>
      <c r="C134" s="35"/>
      <c r="D134" s="35"/>
      <c r="E134" s="35"/>
      <c r="F134" s="35"/>
      <c r="G134" s="17" t="s">
        <v>168</v>
      </c>
      <c r="H134" s="17" t="s">
        <v>226</v>
      </c>
      <c r="I134" s="18">
        <f>244003</f>
        <v>244003</v>
      </c>
      <c r="J134" s="36">
        <f>186944.93</f>
        <v>186944.93</v>
      </c>
      <c r="K134" s="36"/>
      <c r="L134" s="36"/>
      <c r="M134" s="36"/>
      <c r="N134" s="82">
        <f>57058.07</f>
        <v>57058.07</v>
      </c>
      <c r="O134" s="82"/>
    </row>
    <row r="135" spans="1:15" s="1" customFormat="1" ht="13.5" customHeight="1">
      <c r="A135" s="35" t="s">
        <v>201</v>
      </c>
      <c r="B135" s="35"/>
      <c r="C135" s="35"/>
      <c r="D135" s="35"/>
      <c r="E135" s="35"/>
      <c r="F135" s="35"/>
      <c r="G135" s="17" t="s">
        <v>168</v>
      </c>
      <c r="H135" s="17" t="s">
        <v>227</v>
      </c>
      <c r="I135" s="18">
        <f>1400</f>
        <v>1400</v>
      </c>
      <c r="J135" s="36">
        <f>660</f>
        <v>660</v>
      </c>
      <c r="K135" s="36"/>
      <c r="L135" s="36"/>
      <c r="M135" s="36"/>
      <c r="N135" s="82">
        <f>740</f>
        <v>740</v>
      </c>
      <c r="O135" s="82"/>
    </row>
    <row r="136" spans="1:15" s="1" customFormat="1" ht="13.5" customHeight="1">
      <c r="A136" s="35" t="s">
        <v>203</v>
      </c>
      <c r="B136" s="35"/>
      <c r="C136" s="35"/>
      <c r="D136" s="35"/>
      <c r="E136" s="35"/>
      <c r="F136" s="35"/>
      <c r="G136" s="17" t="s">
        <v>168</v>
      </c>
      <c r="H136" s="17" t="s">
        <v>228</v>
      </c>
      <c r="I136" s="18">
        <f>1799.08</f>
        <v>1799.08</v>
      </c>
      <c r="J136" s="36">
        <f>871.54</f>
        <v>871.54</v>
      </c>
      <c r="K136" s="36"/>
      <c r="L136" s="36"/>
      <c r="M136" s="36"/>
      <c r="N136" s="82">
        <f>927.54</f>
        <v>927.54</v>
      </c>
      <c r="O136" s="82"/>
    </row>
    <row r="137" spans="1:15" s="1" customFormat="1" ht="13.5" customHeight="1">
      <c r="A137" s="35" t="s">
        <v>205</v>
      </c>
      <c r="B137" s="35"/>
      <c r="C137" s="35"/>
      <c r="D137" s="35"/>
      <c r="E137" s="35"/>
      <c r="F137" s="35"/>
      <c r="G137" s="17" t="s">
        <v>168</v>
      </c>
      <c r="H137" s="17" t="s">
        <v>229</v>
      </c>
      <c r="I137" s="18">
        <f>0.92</f>
        <v>0.92</v>
      </c>
      <c r="J137" s="36">
        <f>0.92</f>
        <v>0.92</v>
      </c>
      <c r="K137" s="36"/>
      <c r="L137" s="36"/>
      <c r="M137" s="36"/>
      <c r="N137" s="82">
        <f>0</f>
        <v>0</v>
      </c>
      <c r="O137" s="82"/>
    </row>
    <row r="138" spans="1:15" s="1" customFormat="1" ht="24" customHeight="1">
      <c r="A138" s="35" t="s">
        <v>179</v>
      </c>
      <c r="B138" s="35"/>
      <c r="C138" s="35"/>
      <c r="D138" s="35"/>
      <c r="E138" s="35"/>
      <c r="F138" s="35"/>
      <c r="G138" s="17" t="s">
        <v>168</v>
      </c>
      <c r="H138" s="17" t="s">
        <v>230</v>
      </c>
      <c r="I138" s="18">
        <f>476049</f>
        <v>476049</v>
      </c>
      <c r="J138" s="36">
        <f>293069.37</f>
        <v>293069.37</v>
      </c>
      <c r="K138" s="36"/>
      <c r="L138" s="36"/>
      <c r="M138" s="36"/>
      <c r="N138" s="82">
        <f>182979.63</f>
        <v>182979.63</v>
      </c>
      <c r="O138" s="82"/>
    </row>
    <row r="139" spans="1:15" s="1" customFormat="1" ht="13.5" customHeight="1">
      <c r="A139" s="35" t="s">
        <v>169</v>
      </c>
      <c r="B139" s="35"/>
      <c r="C139" s="35"/>
      <c r="D139" s="35"/>
      <c r="E139" s="35"/>
      <c r="F139" s="35"/>
      <c r="G139" s="17" t="s">
        <v>168</v>
      </c>
      <c r="H139" s="17" t="s">
        <v>231</v>
      </c>
      <c r="I139" s="18">
        <f>308400</f>
        <v>308400</v>
      </c>
      <c r="J139" s="36">
        <f>211555.77</f>
        <v>211555.77</v>
      </c>
      <c r="K139" s="36"/>
      <c r="L139" s="36"/>
      <c r="M139" s="36"/>
      <c r="N139" s="82">
        <f>96844.23</f>
        <v>96844.23</v>
      </c>
      <c r="O139" s="82"/>
    </row>
    <row r="140" spans="1:15" s="1" customFormat="1" ht="24" customHeight="1">
      <c r="A140" s="35" t="s">
        <v>174</v>
      </c>
      <c r="B140" s="35"/>
      <c r="C140" s="35"/>
      <c r="D140" s="35"/>
      <c r="E140" s="35"/>
      <c r="F140" s="35"/>
      <c r="G140" s="17" t="s">
        <v>168</v>
      </c>
      <c r="H140" s="17" t="s">
        <v>232</v>
      </c>
      <c r="I140" s="18">
        <f>49168</f>
        <v>49168</v>
      </c>
      <c r="J140" s="36">
        <f>37600</f>
        <v>37600</v>
      </c>
      <c r="K140" s="36"/>
      <c r="L140" s="36"/>
      <c r="M140" s="36"/>
      <c r="N140" s="82">
        <f>11568</f>
        <v>11568</v>
      </c>
      <c r="O140" s="82"/>
    </row>
    <row r="141" spans="1:15" s="1" customFormat="1" ht="33.75" customHeight="1">
      <c r="A141" s="35" t="s">
        <v>171</v>
      </c>
      <c r="B141" s="35"/>
      <c r="C141" s="35"/>
      <c r="D141" s="35"/>
      <c r="E141" s="35"/>
      <c r="F141" s="35"/>
      <c r="G141" s="17" t="s">
        <v>168</v>
      </c>
      <c r="H141" s="17" t="s">
        <v>233</v>
      </c>
      <c r="I141" s="18">
        <f>91600</f>
        <v>91600</v>
      </c>
      <c r="J141" s="36">
        <f>62681.82</f>
        <v>62681.82</v>
      </c>
      <c r="K141" s="36"/>
      <c r="L141" s="36"/>
      <c r="M141" s="36"/>
      <c r="N141" s="82">
        <f>28918.18</f>
        <v>28918.18</v>
      </c>
      <c r="O141" s="82"/>
    </row>
    <row r="142" spans="1:15" s="1" customFormat="1" ht="24" customHeight="1">
      <c r="A142" s="35" t="s">
        <v>177</v>
      </c>
      <c r="B142" s="35"/>
      <c r="C142" s="35"/>
      <c r="D142" s="35"/>
      <c r="E142" s="35"/>
      <c r="F142" s="35"/>
      <c r="G142" s="17" t="s">
        <v>168</v>
      </c>
      <c r="H142" s="17" t="s">
        <v>234</v>
      </c>
      <c r="I142" s="18">
        <f>46262</f>
        <v>46262</v>
      </c>
      <c r="J142" s="36">
        <f>18518</f>
        <v>18518</v>
      </c>
      <c r="K142" s="36"/>
      <c r="L142" s="36"/>
      <c r="M142" s="36"/>
      <c r="N142" s="82">
        <f>27744</f>
        <v>27744</v>
      </c>
      <c r="O142" s="82"/>
    </row>
    <row r="143" spans="1:15" s="1" customFormat="1" ht="24" customHeight="1">
      <c r="A143" s="35" t="s">
        <v>179</v>
      </c>
      <c r="B143" s="35"/>
      <c r="C143" s="35"/>
      <c r="D143" s="35"/>
      <c r="E143" s="35"/>
      <c r="F143" s="35"/>
      <c r="G143" s="17" t="s">
        <v>168</v>
      </c>
      <c r="H143" s="17" t="s">
        <v>235</v>
      </c>
      <c r="I143" s="18">
        <f>180970</f>
        <v>180970</v>
      </c>
      <c r="J143" s="36">
        <f>110757.11</f>
        <v>110757.11</v>
      </c>
      <c r="K143" s="36"/>
      <c r="L143" s="36"/>
      <c r="M143" s="36"/>
      <c r="N143" s="82">
        <f>70212.89</f>
        <v>70212.89</v>
      </c>
      <c r="O143" s="82"/>
    </row>
    <row r="144" spans="1:15" s="1" customFormat="1" ht="24" customHeight="1">
      <c r="A144" s="35" t="s">
        <v>179</v>
      </c>
      <c r="B144" s="35"/>
      <c r="C144" s="35"/>
      <c r="D144" s="35"/>
      <c r="E144" s="35"/>
      <c r="F144" s="35"/>
      <c r="G144" s="17" t="s">
        <v>168</v>
      </c>
      <c r="H144" s="17" t="s">
        <v>236</v>
      </c>
      <c r="I144" s="18">
        <f>59655</f>
        <v>59655</v>
      </c>
      <c r="J144" s="36">
        <f>29000</f>
        <v>29000</v>
      </c>
      <c r="K144" s="36"/>
      <c r="L144" s="36"/>
      <c r="M144" s="36"/>
      <c r="N144" s="82">
        <f>30655</f>
        <v>30655</v>
      </c>
      <c r="O144" s="82"/>
    </row>
    <row r="145" spans="1:15" s="1" customFormat="1" ht="13.5" customHeight="1">
      <c r="A145" s="35" t="s">
        <v>237</v>
      </c>
      <c r="B145" s="35"/>
      <c r="C145" s="35"/>
      <c r="D145" s="35"/>
      <c r="E145" s="35"/>
      <c r="F145" s="35"/>
      <c r="G145" s="17" t="s">
        <v>168</v>
      </c>
      <c r="H145" s="17" t="s">
        <v>238</v>
      </c>
      <c r="I145" s="18">
        <f>10345</f>
        <v>10345</v>
      </c>
      <c r="J145" s="36">
        <f>10345</f>
        <v>10345</v>
      </c>
      <c r="K145" s="36"/>
      <c r="L145" s="36"/>
      <c r="M145" s="36"/>
      <c r="N145" s="82">
        <f>0</f>
        <v>0</v>
      </c>
      <c r="O145" s="82"/>
    </row>
    <row r="146" spans="1:15" s="1" customFormat="1" ht="24" customHeight="1">
      <c r="A146" s="35" t="s">
        <v>179</v>
      </c>
      <c r="B146" s="35"/>
      <c r="C146" s="35"/>
      <c r="D146" s="35"/>
      <c r="E146" s="35"/>
      <c r="F146" s="35"/>
      <c r="G146" s="17" t="s">
        <v>168</v>
      </c>
      <c r="H146" s="17" t="s">
        <v>239</v>
      </c>
      <c r="I146" s="18">
        <f>90000</f>
        <v>90000</v>
      </c>
      <c r="J146" s="44" t="s">
        <v>51</v>
      </c>
      <c r="K146" s="44"/>
      <c r="L146" s="44"/>
      <c r="M146" s="44"/>
      <c r="N146" s="82">
        <f>90000</f>
        <v>90000</v>
      </c>
      <c r="O146" s="82"/>
    </row>
    <row r="147" spans="1:15" s="1" customFormat="1" ht="24" customHeight="1">
      <c r="A147" s="35" t="s">
        <v>179</v>
      </c>
      <c r="B147" s="35"/>
      <c r="C147" s="35"/>
      <c r="D147" s="35"/>
      <c r="E147" s="35"/>
      <c r="F147" s="35"/>
      <c r="G147" s="17" t="s">
        <v>168</v>
      </c>
      <c r="H147" s="17" t="s">
        <v>240</v>
      </c>
      <c r="I147" s="18">
        <f>18000</f>
        <v>18000</v>
      </c>
      <c r="J147" s="36">
        <f>9000</f>
        <v>9000</v>
      </c>
      <c r="K147" s="36"/>
      <c r="L147" s="36"/>
      <c r="M147" s="36"/>
      <c r="N147" s="82">
        <f>9000</f>
        <v>9000</v>
      </c>
      <c r="O147" s="82"/>
    </row>
    <row r="148" spans="1:15" s="1" customFormat="1" ht="24" customHeight="1">
      <c r="A148" s="35" t="s">
        <v>177</v>
      </c>
      <c r="B148" s="35"/>
      <c r="C148" s="35"/>
      <c r="D148" s="35"/>
      <c r="E148" s="35"/>
      <c r="F148" s="35"/>
      <c r="G148" s="17" t="s">
        <v>168</v>
      </c>
      <c r="H148" s="17" t="s">
        <v>241</v>
      </c>
      <c r="I148" s="18">
        <f>617000</f>
        <v>617000</v>
      </c>
      <c r="J148" s="36">
        <f>451317.35</f>
        <v>451317.35</v>
      </c>
      <c r="K148" s="36"/>
      <c r="L148" s="36"/>
      <c r="M148" s="36"/>
      <c r="N148" s="82">
        <f>165682.65</f>
        <v>165682.65</v>
      </c>
      <c r="O148" s="82"/>
    </row>
    <row r="149" spans="1:15" s="1" customFormat="1" ht="24" customHeight="1">
      <c r="A149" s="35" t="s">
        <v>179</v>
      </c>
      <c r="B149" s="35"/>
      <c r="C149" s="35"/>
      <c r="D149" s="35"/>
      <c r="E149" s="35"/>
      <c r="F149" s="35"/>
      <c r="G149" s="17" t="s">
        <v>168</v>
      </c>
      <c r="H149" s="17" t="s">
        <v>242</v>
      </c>
      <c r="I149" s="18">
        <f>60000</f>
        <v>60000</v>
      </c>
      <c r="J149" s="36">
        <f>38245.4</f>
        <v>38245.4</v>
      </c>
      <c r="K149" s="36"/>
      <c r="L149" s="36"/>
      <c r="M149" s="36"/>
      <c r="N149" s="82">
        <f>21754.6</f>
        <v>21754.6</v>
      </c>
      <c r="O149" s="82"/>
    </row>
    <row r="150" spans="1:15" s="1" customFormat="1" ht="24" customHeight="1">
      <c r="A150" s="35" t="s">
        <v>179</v>
      </c>
      <c r="B150" s="35"/>
      <c r="C150" s="35"/>
      <c r="D150" s="35"/>
      <c r="E150" s="35"/>
      <c r="F150" s="35"/>
      <c r="G150" s="17" t="s">
        <v>168</v>
      </c>
      <c r="H150" s="17" t="s">
        <v>243</v>
      </c>
      <c r="I150" s="18">
        <f>20000</f>
        <v>20000</v>
      </c>
      <c r="J150" s="36">
        <f>20000</f>
        <v>20000</v>
      </c>
      <c r="K150" s="36"/>
      <c r="L150" s="36"/>
      <c r="M150" s="36"/>
      <c r="N150" s="82">
        <f>0</f>
        <v>0</v>
      </c>
      <c r="O150" s="82"/>
    </row>
    <row r="151" spans="1:15" s="1" customFormat="1" ht="13.5" customHeight="1">
      <c r="A151" s="35" t="s">
        <v>205</v>
      </c>
      <c r="B151" s="35"/>
      <c r="C151" s="35"/>
      <c r="D151" s="35"/>
      <c r="E151" s="35"/>
      <c r="F151" s="35"/>
      <c r="G151" s="17" t="s">
        <v>168</v>
      </c>
      <c r="H151" s="17" t="s">
        <v>244</v>
      </c>
      <c r="I151" s="18">
        <f>160000</f>
        <v>160000</v>
      </c>
      <c r="J151" s="36">
        <f>42000</f>
        <v>42000</v>
      </c>
      <c r="K151" s="36"/>
      <c r="L151" s="36"/>
      <c r="M151" s="36"/>
      <c r="N151" s="82">
        <f>118000</f>
        <v>118000</v>
      </c>
      <c r="O151" s="82"/>
    </row>
    <row r="152" spans="1:15" s="1" customFormat="1" ht="24" customHeight="1">
      <c r="A152" s="35" t="s">
        <v>179</v>
      </c>
      <c r="B152" s="35"/>
      <c r="C152" s="35"/>
      <c r="D152" s="35"/>
      <c r="E152" s="35"/>
      <c r="F152" s="35"/>
      <c r="G152" s="17" t="s">
        <v>168</v>
      </c>
      <c r="H152" s="17" t="s">
        <v>245</v>
      </c>
      <c r="I152" s="18">
        <f>100000</f>
        <v>100000</v>
      </c>
      <c r="J152" s="36">
        <f>24000</f>
        <v>24000</v>
      </c>
      <c r="K152" s="36"/>
      <c r="L152" s="36"/>
      <c r="M152" s="36"/>
      <c r="N152" s="82">
        <f>76000</f>
        <v>76000</v>
      </c>
      <c r="O152" s="82"/>
    </row>
    <row r="153" spans="1:15" s="1" customFormat="1" ht="24" customHeight="1">
      <c r="A153" s="35" t="s">
        <v>179</v>
      </c>
      <c r="B153" s="35"/>
      <c r="C153" s="35"/>
      <c r="D153" s="35"/>
      <c r="E153" s="35"/>
      <c r="F153" s="35"/>
      <c r="G153" s="17" t="s">
        <v>168</v>
      </c>
      <c r="H153" s="17" t="s">
        <v>246</v>
      </c>
      <c r="I153" s="18">
        <f>100</f>
        <v>100</v>
      </c>
      <c r="J153" s="44" t="s">
        <v>51</v>
      </c>
      <c r="K153" s="44"/>
      <c r="L153" s="44"/>
      <c r="M153" s="44"/>
      <c r="N153" s="82">
        <f>100</f>
        <v>100</v>
      </c>
      <c r="O153" s="82"/>
    </row>
    <row r="154" spans="1:15" s="1" customFormat="1" ht="24" customHeight="1">
      <c r="A154" s="35" t="s">
        <v>177</v>
      </c>
      <c r="B154" s="35"/>
      <c r="C154" s="35"/>
      <c r="D154" s="35"/>
      <c r="E154" s="35"/>
      <c r="F154" s="35"/>
      <c r="G154" s="17" t="s">
        <v>168</v>
      </c>
      <c r="H154" s="17" t="s">
        <v>247</v>
      </c>
      <c r="I154" s="18">
        <f>11000</f>
        <v>11000</v>
      </c>
      <c r="J154" s="36">
        <f>900</f>
        <v>900</v>
      </c>
      <c r="K154" s="36"/>
      <c r="L154" s="36"/>
      <c r="M154" s="36"/>
      <c r="N154" s="82">
        <f>10100</f>
        <v>10100</v>
      </c>
      <c r="O154" s="82"/>
    </row>
    <row r="155" spans="1:15" s="1" customFormat="1" ht="24" customHeight="1">
      <c r="A155" s="35" t="s">
        <v>179</v>
      </c>
      <c r="B155" s="35"/>
      <c r="C155" s="35"/>
      <c r="D155" s="35"/>
      <c r="E155" s="35"/>
      <c r="F155" s="35"/>
      <c r="G155" s="17" t="s">
        <v>168</v>
      </c>
      <c r="H155" s="17" t="s">
        <v>248</v>
      </c>
      <c r="I155" s="18">
        <f>49200</f>
        <v>49200</v>
      </c>
      <c r="J155" s="36">
        <f>26600</f>
        <v>26600</v>
      </c>
      <c r="K155" s="36"/>
      <c r="L155" s="36"/>
      <c r="M155" s="36"/>
      <c r="N155" s="82">
        <f>22600</f>
        <v>22600</v>
      </c>
      <c r="O155" s="82"/>
    </row>
    <row r="156" spans="1:15" s="1" customFormat="1" ht="13.5" customHeight="1">
      <c r="A156" s="35" t="s">
        <v>169</v>
      </c>
      <c r="B156" s="35"/>
      <c r="C156" s="35"/>
      <c r="D156" s="35"/>
      <c r="E156" s="35"/>
      <c r="F156" s="35"/>
      <c r="G156" s="17" t="s">
        <v>168</v>
      </c>
      <c r="H156" s="17" t="s">
        <v>249</v>
      </c>
      <c r="I156" s="18">
        <f>109588</f>
        <v>109588</v>
      </c>
      <c r="J156" s="36">
        <f>82129.4</f>
        <v>82129.4</v>
      </c>
      <c r="K156" s="36"/>
      <c r="L156" s="36"/>
      <c r="M156" s="36"/>
      <c r="N156" s="82">
        <f>27458.6</f>
        <v>27458.6</v>
      </c>
      <c r="O156" s="82"/>
    </row>
    <row r="157" spans="1:15" s="1" customFormat="1" ht="33.75" customHeight="1">
      <c r="A157" s="35" t="s">
        <v>171</v>
      </c>
      <c r="B157" s="35"/>
      <c r="C157" s="35"/>
      <c r="D157" s="35"/>
      <c r="E157" s="35"/>
      <c r="F157" s="35"/>
      <c r="G157" s="17" t="s">
        <v>168</v>
      </c>
      <c r="H157" s="17" t="s">
        <v>250</v>
      </c>
      <c r="I157" s="18">
        <f>31888</f>
        <v>31888</v>
      </c>
      <c r="J157" s="36">
        <f>23595.12</f>
        <v>23595.12</v>
      </c>
      <c r="K157" s="36"/>
      <c r="L157" s="36"/>
      <c r="M157" s="36"/>
      <c r="N157" s="82">
        <f>8292.88</f>
        <v>8292.88</v>
      </c>
      <c r="O157" s="82"/>
    </row>
    <row r="158" spans="1:15" s="1" customFormat="1" ht="24" customHeight="1">
      <c r="A158" s="35" t="s">
        <v>177</v>
      </c>
      <c r="B158" s="35"/>
      <c r="C158" s="35"/>
      <c r="D158" s="35"/>
      <c r="E158" s="35"/>
      <c r="F158" s="35"/>
      <c r="G158" s="17" t="s">
        <v>168</v>
      </c>
      <c r="H158" s="17" t="s">
        <v>251</v>
      </c>
      <c r="I158" s="18">
        <f>10000</f>
        <v>10000</v>
      </c>
      <c r="J158" s="44" t="s">
        <v>51</v>
      </c>
      <c r="K158" s="44"/>
      <c r="L158" s="44"/>
      <c r="M158" s="44"/>
      <c r="N158" s="82">
        <f>10000</f>
        <v>10000</v>
      </c>
      <c r="O158" s="82"/>
    </row>
    <row r="159" spans="1:15" s="1" customFormat="1" ht="24" customHeight="1">
      <c r="A159" s="35" t="s">
        <v>179</v>
      </c>
      <c r="B159" s="35"/>
      <c r="C159" s="35"/>
      <c r="D159" s="35"/>
      <c r="E159" s="35"/>
      <c r="F159" s="35"/>
      <c r="G159" s="17" t="s">
        <v>168</v>
      </c>
      <c r="H159" s="17" t="s">
        <v>252</v>
      </c>
      <c r="I159" s="18">
        <f>11124</f>
        <v>11124</v>
      </c>
      <c r="J159" s="36">
        <f>11124</f>
        <v>11124</v>
      </c>
      <c r="K159" s="36"/>
      <c r="L159" s="36"/>
      <c r="M159" s="36"/>
      <c r="N159" s="82">
        <f>0</f>
        <v>0</v>
      </c>
      <c r="O159" s="82"/>
    </row>
    <row r="160" spans="1:15" s="1" customFormat="1" ht="13.5" customHeight="1">
      <c r="A160" s="35" t="s">
        <v>169</v>
      </c>
      <c r="B160" s="35"/>
      <c r="C160" s="35"/>
      <c r="D160" s="35"/>
      <c r="E160" s="35"/>
      <c r="F160" s="35"/>
      <c r="G160" s="17" t="s">
        <v>168</v>
      </c>
      <c r="H160" s="17" t="s">
        <v>253</v>
      </c>
      <c r="I160" s="18">
        <f>403000</f>
        <v>403000</v>
      </c>
      <c r="J160" s="36">
        <f>326928.13</f>
        <v>326928.13</v>
      </c>
      <c r="K160" s="36"/>
      <c r="L160" s="36"/>
      <c r="M160" s="36"/>
      <c r="N160" s="82">
        <f>76071.87</f>
        <v>76071.87</v>
      </c>
      <c r="O160" s="82"/>
    </row>
    <row r="161" spans="1:15" s="1" customFormat="1" ht="33.75" customHeight="1">
      <c r="A161" s="35" t="s">
        <v>171</v>
      </c>
      <c r="B161" s="35"/>
      <c r="C161" s="35"/>
      <c r="D161" s="35"/>
      <c r="E161" s="35"/>
      <c r="F161" s="35"/>
      <c r="G161" s="17" t="s">
        <v>168</v>
      </c>
      <c r="H161" s="17" t="s">
        <v>254</v>
      </c>
      <c r="I161" s="18">
        <f>121700</f>
        <v>121700</v>
      </c>
      <c r="J161" s="36">
        <f>87089.07</f>
        <v>87089.07</v>
      </c>
      <c r="K161" s="36"/>
      <c r="L161" s="36"/>
      <c r="M161" s="36"/>
      <c r="N161" s="82">
        <f>34610.93</f>
        <v>34610.93</v>
      </c>
      <c r="O161" s="82"/>
    </row>
    <row r="162" spans="1:15" s="1" customFormat="1" ht="24" customHeight="1">
      <c r="A162" s="35" t="s">
        <v>179</v>
      </c>
      <c r="B162" s="35"/>
      <c r="C162" s="35"/>
      <c r="D162" s="35"/>
      <c r="E162" s="35"/>
      <c r="F162" s="35"/>
      <c r="G162" s="17" t="s">
        <v>168</v>
      </c>
      <c r="H162" s="17" t="s">
        <v>255</v>
      </c>
      <c r="I162" s="18">
        <f>140000</f>
        <v>140000</v>
      </c>
      <c r="J162" s="36">
        <f>140000</f>
        <v>140000</v>
      </c>
      <c r="K162" s="36"/>
      <c r="L162" s="36"/>
      <c r="M162" s="36"/>
      <c r="N162" s="82">
        <f>0</f>
        <v>0</v>
      </c>
      <c r="O162" s="82"/>
    </row>
    <row r="163" spans="1:15" s="1" customFormat="1" ht="24" customHeight="1">
      <c r="A163" s="35" t="s">
        <v>256</v>
      </c>
      <c r="B163" s="35"/>
      <c r="C163" s="35"/>
      <c r="D163" s="35"/>
      <c r="E163" s="35"/>
      <c r="F163" s="35"/>
      <c r="G163" s="17" t="s">
        <v>168</v>
      </c>
      <c r="H163" s="17" t="s">
        <v>257</v>
      </c>
      <c r="I163" s="18">
        <f>279000</f>
        <v>279000</v>
      </c>
      <c r="J163" s="36">
        <f>279000</f>
        <v>279000</v>
      </c>
      <c r="K163" s="36"/>
      <c r="L163" s="36"/>
      <c r="M163" s="36"/>
      <c r="N163" s="82">
        <f>0</f>
        <v>0</v>
      </c>
      <c r="O163" s="82"/>
    </row>
    <row r="164" spans="1:15" s="1" customFormat="1" ht="13.5" customHeight="1">
      <c r="A164" s="35" t="s">
        <v>169</v>
      </c>
      <c r="B164" s="35"/>
      <c r="C164" s="35"/>
      <c r="D164" s="35"/>
      <c r="E164" s="35"/>
      <c r="F164" s="35"/>
      <c r="G164" s="17" t="s">
        <v>168</v>
      </c>
      <c r="H164" s="17" t="s">
        <v>258</v>
      </c>
      <c r="I164" s="18">
        <f>592900</f>
        <v>592900</v>
      </c>
      <c r="J164" s="36">
        <f>571483.08</f>
        <v>571483.08</v>
      </c>
      <c r="K164" s="36"/>
      <c r="L164" s="36"/>
      <c r="M164" s="36"/>
      <c r="N164" s="82">
        <f>21416.92</f>
        <v>21416.92</v>
      </c>
      <c r="O164" s="82"/>
    </row>
    <row r="165" spans="1:15" s="1" customFormat="1" ht="24" customHeight="1">
      <c r="A165" s="35" t="s">
        <v>174</v>
      </c>
      <c r="B165" s="35"/>
      <c r="C165" s="35"/>
      <c r="D165" s="35"/>
      <c r="E165" s="35"/>
      <c r="F165" s="35"/>
      <c r="G165" s="17" t="s">
        <v>168</v>
      </c>
      <c r="H165" s="17" t="s">
        <v>259</v>
      </c>
      <c r="I165" s="18">
        <f>19200</f>
        <v>19200</v>
      </c>
      <c r="J165" s="36">
        <f>19200</f>
        <v>19200</v>
      </c>
      <c r="K165" s="36"/>
      <c r="L165" s="36"/>
      <c r="M165" s="36"/>
      <c r="N165" s="82">
        <f>0</f>
        <v>0</v>
      </c>
      <c r="O165" s="82"/>
    </row>
    <row r="166" spans="1:15" s="1" customFormat="1" ht="33.75" customHeight="1">
      <c r="A166" s="35" t="s">
        <v>171</v>
      </c>
      <c r="B166" s="35"/>
      <c r="C166" s="35"/>
      <c r="D166" s="35"/>
      <c r="E166" s="35"/>
      <c r="F166" s="35"/>
      <c r="G166" s="17" t="s">
        <v>168</v>
      </c>
      <c r="H166" s="17" t="s">
        <v>260</v>
      </c>
      <c r="I166" s="18">
        <f>179100</f>
        <v>179100</v>
      </c>
      <c r="J166" s="36">
        <f>166919.52</f>
        <v>166919.52</v>
      </c>
      <c r="K166" s="36"/>
      <c r="L166" s="36"/>
      <c r="M166" s="36"/>
      <c r="N166" s="82">
        <f>12180.48</f>
        <v>12180.48</v>
      </c>
      <c r="O166" s="82"/>
    </row>
    <row r="167" spans="1:15" s="1" customFormat="1" ht="24" customHeight="1">
      <c r="A167" s="35" t="s">
        <v>177</v>
      </c>
      <c r="B167" s="35"/>
      <c r="C167" s="35"/>
      <c r="D167" s="35"/>
      <c r="E167" s="35"/>
      <c r="F167" s="35"/>
      <c r="G167" s="17" t="s">
        <v>168</v>
      </c>
      <c r="H167" s="17" t="s">
        <v>261</v>
      </c>
      <c r="I167" s="18">
        <f>379155</f>
        <v>379155</v>
      </c>
      <c r="J167" s="36">
        <f>324455</f>
        <v>324455</v>
      </c>
      <c r="K167" s="36"/>
      <c r="L167" s="36"/>
      <c r="M167" s="36"/>
      <c r="N167" s="82">
        <f>54700</f>
        <v>54700</v>
      </c>
      <c r="O167" s="82"/>
    </row>
    <row r="168" spans="1:15" s="1" customFormat="1" ht="24" customHeight="1">
      <c r="A168" s="35" t="s">
        <v>179</v>
      </c>
      <c r="B168" s="35"/>
      <c r="C168" s="35"/>
      <c r="D168" s="35"/>
      <c r="E168" s="35"/>
      <c r="F168" s="35"/>
      <c r="G168" s="17" t="s">
        <v>168</v>
      </c>
      <c r="H168" s="17" t="s">
        <v>262</v>
      </c>
      <c r="I168" s="18">
        <f>166292</f>
        <v>166292</v>
      </c>
      <c r="J168" s="36">
        <f>154211.35</f>
        <v>154211.35</v>
      </c>
      <c r="K168" s="36"/>
      <c r="L168" s="36"/>
      <c r="M168" s="36"/>
      <c r="N168" s="82">
        <f>12080.65</f>
        <v>12080.65</v>
      </c>
      <c r="O168" s="82"/>
    </row>
    <row r="169" spans="1:15" s="1" customFormat="1" ht="24" customHeight="1">
      <c r="A169" s="35" t="s">
        <v>179</v>
      </c>
      <c r="B169" s="35"/>
      <c r="C169" s="35"/>
      <c r="D169" s="35"/>
      <c r="E169" s="35"/>
      <c r="F169" s="35"/>
      <c r="G169" s="17" t="s">
        <v>168</v>
      </c>
      <c r="H169" s="17" t="s">
        <v>263</v>
      </c>
      <c r="I169" s="18">
        <f>20000</f>
        <v>20000</v>
      </c>
      <c r="J169" s="44" t="s">
        <v>51</v>
      </c>
      <c r="K169" s="44"/>
      <c r="L169" s="44"/>
      <c r="M169" s="44"/>
      <c r="N169" s="82">
        <f>20000</f>
        <v>20000</v>
      </c>
      <c r="O169" s="82"/>
    </row>
    <row r="170" spans="1:15" s="1" customFormat="1" ht="13.5" customHeight="1">
      <c r="A170" s="35" t="s">
        <v>237</v>
      </c>
      <c r="B170" s="35"/>
      <c r="C170" s="35"/>
      <c r="D170" s="35"/>
      <c r="E170" s="35"/>
      <c r="F170" s="35"/>
      <c r="G170" s="17" t="s">
        <v>168</v>
      </c>
      <c r="H170" s="17" t="s">
        <v>264</v>
      </c>
      <c r="I170" s="18">
        <f>22000</f>
        <v>22000</v>
      </c>
      <c r="J170" s="36">
        <f>2700</f>
        <v>2700</v>
      </c>
      <c r="K170" s="36"/>
      <c r="L170" s="36"/>
      <c r="M170" s="36"/>
      <c r="N170" s="82">
        <f>19300</f>
        <v>19300</v>
      </c>
      <c r="O170" s="82"/>
    </row>
    <row r="171" spans="1:15" s="1" customFormat="1" ht="13.5" customHeight="1">
      <c r="A171" s="35" t="s">
        <v>237</v>
      </c>
      <c r="B171" s="35"/>
      <c r="C171" s="35"/>
      <c r="D171" s="35"/>
      <c r="E171" s="35"/>
      <c r="F171" s="35"/>
      <c r="G171" s="17" t="s">
        <v>168</v>
      </c>
      <c r="H171" s="17" t="s">
        <v>265</v>
      </c>
      <c r="I171" s="18">
        <f>2000</f>
        <v>2000</v>
      </c>
      <c r="J171" s="36">
        <f>300</f>
        <v>300</v>
      </c>
      <c r="K171" s="36"/>
      <c r="L171" s="36"/>
      <c r="M171" s="36"/>
      <c r="N171" s="82">
        <f>1700</f>
        <v>1700</v>
      </c>
      <c r="O171" s="82"/>
    </row>
    <row r="172" spans="1:15" s="1" customFormat="1" ht="24" customHeight="1">
      <c r="A172" s="35" t="s">
        <v>179</v>
      </c>
      <c r="B172" s="35"/>
      <c r="C172" s="35"/>
      <c r="D172" s="35"/>
      <c r="E172" s="35"/>
      <c r="F172" s="35"/>
      <c r="G172" s="17" t="s">
        <v>168</v>
      </c>
      <c r="H172" s="17" t="s">
        <v>266</v>
      </c>
      <c r="I172" s="18">
        <f>145000</f>
        <v>145000</v>
      </c>
      <c r="J172" s="44" t="s">
        <v>51</v>
      </c>
      <c r="K172" s="44"/>
      <c r="L172" s="44"/>
      <c r="M172" s="44"/>
      <c r="N172" s="82">
        <f>145000</f>
        <v>145000</v>
      </c>
      <c r="O172" s="82"/>
    </row>
    <row r="173" spans="1:15" s="1" customFormat="1" ht="24" customHeight="1">
      <c r="A173" s="35" t="s">
        <v>179</v>
      </c>
      <c r="B173" s="35"/>
      <c r="C173" s="35"/>
      <c r="D173" s="35"/>
      <c r="E173" s="35"/>
      <c r="F173" s="35"/>
      <c r="G173" s="17" t="s">
        <v>168</v>
      </c>
      <c r="H173" s="17" t="s">
        <v>267</v>
      </c>
      <c r="I173" s="18">
        <f>814900</f>
        <v>814900</v>
      </c>
      <c r="J173" s="44" t="s">
        <v>51</v>
      </c>
      <c r="K173" s="44"/>
      <c r="L173" s="44"/>
      <c r="M173" s="44"/>
      <c r="N173" s="82">
        <f>814900</f>
        <v>814900</v>
      </c>
      <c r="O173" s="82"/>
    </row>
    <row r="174" spans="1:15" s="1" customFormat="1" ht="13.5" customHeight="1">
      <c r="A174" s="35" t="s">
        <v>169</v>
      </c>
      <c r="B174" s="35"/>
      <c r="C174" s="35"/>
      <c r="D174" s="35"/>
      <c r="E174" s="35"/>
      <c r="F174" s="35"/>
      <c r="G174" s="17" t="s">
        <v>168</v>
      </c>
      <c r="H174" s="17" t="s">
        <v>268</v>
      </c>
      <c r="I174" s="18">
        <f>25200</f>
        <v>25200</v>
      </c>
      <c r="J174" s="36">
        <f>16626.09</f>
        <v>16626.09</v>
      </c>
      <c r="K174" s="36"/>
      <c r="L174" s="36"/>
      <c r="M174" s="36"/>
      <c r="N174" s="82">
        <f>8573.91</f>
        <v>8573.91</v>
      </c>
      <c r="O174" s="82"/>
    </row>
    <row r="175" spans="1:15" s="1" customFormat="1" ht="33.75" customHeight="1">
      <c r="A175" s="35" t="s">
        <v>171</v>
      </c>
      <c r="B175" s="35"/>
      <c r="C175" s="35"/>
      <c r="D175" s="35"/>
      <c r="E175" s="35"/>
      <c r="F175" s="35"/>
      <c r="G175" s="17" t="s">
        <v>168</v>
      </c>
      <c r="H175" s="17" t="s">
        <v>269</v>
      </c>
      <c r="I175" s="18">
        <f>7610</f>
        <v>7610</v>
      </c>
      <c r="J175" s="36">
        <f>5021.08</f>
        <v>5021.08</v>
      </c>
      <c r="K175" s="36"/>
      <c r="L175" s="36"/>
      <c r="M175" s="36"/>
      <c r="N175" s="82">
        <f>2588.92</f>
        <v>2588.92</v>
      </c>
      <c r="O175" s="82"/>
    </row>
    <row r="176" spans="1:15" s="1" customFormat="1" ht="24" customHeight="1">
      <c r="A176" s="35" t="s">
        <v>177</v>
      </c>
      <c r="B176" s="35"/>
      <c r="C176" s="35"/>
      <c r="D176" s="35"/>
      <c r="E176" s="35"/>
      <c r="F176" s="35"/>
      <c r="G176" s="17" t="s">
        <v>168</v>
      </c>
      <c r="H176" s="17" t="s">
        <v>270</v>
      </c>
      <c r="I176" s="18">
        <f>6000</f>
        <v>6000</v>
      </c>
      <c r="J176" s="36">
        <f>4500</f>
        <v>4500</v>
      </c>
      <c r="K176" s="36"/>
      <c r="L176" s="36"/>
      <c r="M176" s="36"/>
      <c r="N176" s="82">
        <f>1500</f>
        <v>1500</v>
      </c>
      <c r="O176" s="82"/>
    </row>
    <row r="177" spans="1:15" s="1" customFormat="1" ht="24" customHeight="1">
      <c r="A177" s="35" t="s">
        <v>179</v>
      </c>
      <c r="B177" s="35"/>
      <c r="C177" s="35"/>
      <c r="D177" s="35"/>
      <c r="E177" s="35"/>
      <c r="F177" s="35"/>
      <c r="G177" s="17" t="s">
        <v>168</v>
      </c>
      <c r="H177" s="17" t="s">
        <v>271</v>
      </c>
      <c r="I177" s="18">
        <f>520190</f>
        <v>520190</v>
      </c>
      <c r="J177" s="36">
        <f>226387.6</f>
        <v>226387.6</v>
      </c>
      <c r="K177" s="36"/>
      <c r="L177" s="36"/>
      <c r="M177" s="36"/>
      <c r="N177" s="82">
        <f>293802.4</f>
        <v>293802.4</v>
      </c>
      <c r="O177" s="82"/>
    </row>
    <row r="178" spans="1:15" s="1" customFormat="1" ht="13.5" customHeight="1">
      <c r="A178" s="35" t="s">
        <v>169</v>
      </c>
      <c r="B178" s="35"/>
      <c r="C178" s="35"/>
      <c r="D178" s="35"/>
      <c r="E178" s="35"/>
      <c r="F178" s="35"/>
      <c r="G178" s="17" t="s">
        <v>168</v>
      </c>
      <c r="H178" s="17" t="s">
        <v>272</v>
      </c>
      <c r="I178" s="18">
        <f>1274400</f>
        <v>1274400</v>
      </c>
      <c r="J178" s="36">
        <f>999284.84</f>
        <v>999284.84</v>
      </c>
      <c r="K178" s="36"/>
      <c r="L178" s="36"/>
      <c r="M178" s="36"/>
      <c r="N178" s="82">
        <f>275115.16</f>
        <v>275115.16</v>
      </c>
      <c r="O178" s="82"/>
    </row>
    <row r="179" spans="1:15" s="1" customFormat="1" ht="33.75" customHeight="1">
      <c r="A179" s="35" t="s">
        <v>171</v>
      </c>
      <c r="B179" s="35"/>
      <c r="C179" s="35"/>
      <c r="D179" s="35"/>
      <c r="E179" s="35"/>
      <c r="F179" s="35"/>
      <c r="G179" s="17" t="s">
        <v>168</v>
      </c>
      <c r="H179" s="17" t="s">
        <v>273</v>
      </c>
      <c r="I179" s="18">
        <f>385000</f>
        <v>385000</v>
      </c>
      <c r="J179" s="36">
        <f>297587.28</f>
        <v>297587.28</v>
      </c>
      <c r="K179" s="36"/>
      <c r="L179" s="36"/>
      <c r="M179" s="36"/>
      <c r="N179" s="82">
        <f>87412.72</f>
        <v>87412.72</v>
      </c>
      <c r="O179" s="82"/>
    </row>
    <row r="180" spans="1:15" s="1" customFormat="1" ht="13.5" customHeight="1">
      <c r="A180" s="35" t="s">
        <v>169</v>
      </c>
      <c r="B180" s="35"/>
      <c r="C180" s="35"/>
      <c r="D180" s="35"/>
      <c r="E180" s="35"/>
      <c r="F180" s="35"/>
      <c r="G180" s="17" t="s">
        <v>168</v>
      </c>
      <c r="H180" s="17" t="s">
        <v>274</v>
      </c>
      <c r="I180" s="18">
        <f>312900</f>
        <v>312900</v>
      </c>
      <c r="J180" s="36">
        <f>250009.49</f>
        <v>250009.49</v>
      </c>
      <c r="K180" s="36"/>
      <c r="L180" s="36"/>
      <c r="M180" s="36"/>
      <c r="N180" s="82">
        <f>62890.51</f>
        <v>62890.51</v>
      </c>
      <c r="O180" s="82"/>
    </row>
    <row r="181" spans="1:15" s="1" customFormat="1" ht="24" customHeight="1">
      <c r="A181" s="35" t="s">
        <v>174</v>
      </c>
      <c r="B181" s="35"/>
      <c r="C181" s="35"/>
      <c r="D181" s="35"/>
      <c r="E181" s="35"/>
      <c r="F181" s="35"/>
      <c r="G181" s="17" t="s">
        <v>168</v>
      </c>
      <c r="H181" s="17" t="s">
        <v>275</v>
      </c>
      <c r="I181" s="18">
        <f>80200</f>
        <v>80200</v>
      </c>
      <c r="J181" s="36">
        <f>40500</f>
        <v>40500</v>
      </c>
      <c r="K181" s="36"/>
      <c r="L181" s="36"/>
      <c r="M181" s="36"/>
      <c r="N181" s="82">
        <f>39700</f>
        <v>39700</v>
      </c>
      <c r="O181" s="82"/>
    </row>
    <row r="182" spans="1:15" s="1" customFormat="1" ht="33.75" customHeight="1">
      <c r="A182" s="35" t="s">
        <v>171</v>
      </c>
      <c r="B182" s="35"/>
      <c r="C182" s="35"/>
      <c r="D182" s="35"/>
      <c r="E182" s="35"/>
      <c r="F182" s="35"/>
      <c r="G182" s="17" t="s">
        <v>168</v>
      </c>
      <c r="H182" s="17" t="s">
        <v>276</v>
      </c>
      <c r="I182" s="18">
        <f>94500</f>
        <v>94500</v>
      </c>
      <c r="J182" s="36">
        <f>70175.48</f>
        <v>70175.48</v>
      </c>
      <c r="K182" s="36"/>
      <c r="L182" s="36"/>
      <c r="M182" s="36"/>
      <c r="N182" s="82">
        <f>24324.52</f>
        <v>24324.52</v>
      </c>
      <c r="O182" s="82"/>
    </row>
    <row r="183" spans="1:15" s="1" customFormat="1" ht="24" customHeight="1">
      <c r="A183" s="35" t="s">
        <v>177</v>
      </c>
      <c r="B183" s="35"/>
      <c r="C183" s="35"/>
      <c r="D183" s="35"/>
      <c r="E183" s="35"/>
      <c r="F183" s="35"/>
      <c r="G183" s="17" t="s">
        <v>168</v>
      </c>
      <c r="H183" s="17" t="s">
        <v>277</v>
      </c>
      <c r="I183" s="18">
        <f>94300</f>
        <v>94300</v>
      </c>
      <c r="J183" s="36">
        <f>49976.01</f>
        <v>49976.01</v>
      </c>
      <c r="K183" s="36"/>
      <c r="L183" s="36"/>
      <c r="M183" s="36"/>
      <c r="N183" s="82">
        <f>44323.99</f>
        <v>44323.99</v>
      </c>
      <c r="O183" s="82"/>
    </row>
    <row r="184" spans="1:15" s="1" customFormat="1" ht="24" customHeight="1">
      <c r="A184" s="35" t="s">
        <v>179</v>
      </c>
      <c r="B184" s="35"/>
      <c r="C184" s="35"/>
      <c r="D184" s="35"/>
      <c r="E184" s="35"/>
      <c r="F184" s="35"/>
      <c r="G184" s="17" t="s">
        <v>168</v>
      </c>
      <c r="H184" s="17" t="s">
        <v>278</v>
      </c>
      <c r="I184" s="18">
        <f>219700</f>
        <v>219700</v>
      </c>
      <c r="J184" s="36">
        <f>173093</f>
        <v>173093</v>
      </c>
      <c r="K184" s="36"/>
      <c r="L184" s="36"/>
      <c r="M184" s="36"/>
      <c r="N184" s="82">
        <f>46607</f>
        <v>46607</v>
      </c>
      <c r="O184" s="82"/>
    </row>
    <row r="185" spans="1:15" s="1" customFormat="1" ht="13.5" customHeight="1">
      <c r="A185" s="35" t="s">
        <v>201</v>
      </c>
      <c r="B185" s="35"/>
      <c r="C185" s="35"/>
      <c r="D185" s="35"/>
      <c r="E185" s="35"/>
      <c r="F185" s="35"/>
      <c r="G185" s="17" t="s">
        <v>168</v>
      </c>
      <c r="H185" s="17" t="s">
        <v>279</v>
      </c>
      <c r="I185" s="18">
        <f>2000</f>
        <v>2000</v>
      </c>
      <c r="J185" s="36">
        <f>407</f>
        <v>407</v>
      </c>
      <c r="K185" s="36"/>
      <c r="L185" s="36"/>
      <c r="M185" s="36"/>
      <c r="N185" s="82">
        <f>1593</f>
        <v>1593</v>
      </c>
      <c r="O185" s="82"/>
    </row>
    <row r="186" spans="1:15" s="1" customFormat="1" ht="13.5" customHeight="1">
      <c r="A186" s="35" t="s">
        <v>203</v>
      </c>
      <c r="B186" s="35"/>
      <c r="C186" s="35"/>
      <c r="D186" s="35"/>
      <c r="E186" s="35"/>
      <c r="F186" s="35"/>
      <c r="G186" s="17" t="s">
        <v>168</v>
      </c>
      <c r="H186" s="17" t="s">
        <v>280</v>
      </c>
      <c r="I186" s="18">
        <f>4498.15</f>
        <v>4498.15</v>
      </c>
      <c r="J186" s="36">
        <f>2121.45</f>
        <v>2121.45</v>
      </c>
      <c r="K186" s="36"/>
      <c r="L186" s="36"/>
      <c r="M186" s="36"/>
      <c r="N186" s="82">
        <f>2376.7</f>
        <v>2376.7</v>
      </c>
      <c r="O186" s="82"/>
    </row>
    <row r="187" spans="1:15" s="1" customFormat="1" ht="13.5" customHeight="1">
      <c r="A187" s="35" t="s">
        <v>205</v>
      </c>
      <c r="B187" s="35"/>
      <c r="C187" s="35"/>
      <c r="D187" s="35"/>
      <c r="E187" s="35"/>
      <c r="F187" s="35"/>
      <c r="G187" s="17" t="s">
        <v>168</v>
      </c>
      <c r="H187" s="17" t="s">
        <v>281</v>
      </c>
      <c r="I187" s="18">
        <f>1.85</f>
        <v>1.85</v>
      </c>
      <c r="J187" s="36">
        <f>1.85</f>
        <v>1.85</v>
      </c>
      <c r="K187" s="36"/>
      <c r="L187" s="36"/>
      <c r="M187" s="36"/>
      <c r="N187" s="82">
        <f>0</f>
        <v>0</v>
      </c>
      <c r="O187" s="82"/>
    </row>
    <row r="188" spans="1:15" s="1" customFormat="1" ht="24" customHeight="1">
      <c r="A188" s="35" t="s">
        <v>179</v>
      </c>
      <c r="B188" s="35"/>
      <c r="C188" s="35"/>
      <c r="D188" s="35"/>
      <c r="E188" s="35"/>
      <c r="F188" s="35"/>
      <c r="G188" s="17" t="s">
        <v>168</v>
      </c>
      <c r="H188" s="17" t="s">
        <v>282</v>
      </c>
      <c r="I188" s="18">
        <f>2447355.01</f>
        <v>2447355.01</v>
      </c>
      <c r="J188" s="36">
        <f>1313132.18</f>
        <v>1313132.18</v>
      </c>
      <c r="K188" s="36"/>
      <c r="L188" s="36"/>
      <c r="M188" s="36"/>
      <c r="N188" s="82">
        <f>1134222.83</f>
        <v>1134222.83</v>
      </c>
      <c r="O188" s="82"/>
    </row>
    <row r="189" spans="1:15" s="1" customFormat="1" ht="24" customHeight="1">
      <c r="A189" s="35" t="s">
        <v>256</v>
      </c>
      <c r="B189" s="35"/>
      <c r="C189" s="35"/>
      <c r="D189" s="35"/>
      <c r="E189" s="35"/>
      <c r="F189" s="35"/>
      <c r="G189" s="17" t="s">
        <v>168</v>
      </c>
      <c r="H189" s="17" t="s">
        <v>283</v>
      </c>
      <c r="I189" s="18">
        <f>4134508</f>
        <v>4134508</v>
      </c>
      <c r="J189" s="36">
        <f>4134508</f>
        <v>4134508</v>
      </c>
      <c r="K189" s="36"/>
      <c r="L189" s="36"/>
      <c r="M189" s="36"/>
      <c r="N189" s="82">
        <f>0</f>
        <v>0</v>
      </c>
      <c r="O189" s="82"/>
    </row>
    <row r="190" spans="1:15" s="1" customFormat="1" ht="24" customHeight="1">
      <c r="A190" s="35" t="s">
        <v>179</v>
      </c>
      <c r="B190" s="35"/>
      <c r="C190" s="35"/>
      <c r="D190" s="35"/>
      <c r="E190" s="35"/>
      <c r="F190" s="35"/>
      <c r="G190" s="17" t="s">
        <v>168</v>
      </c>
      <c r="H190" s="17" t="s">
        <v>284</v>
      </c>
      <c r="I190" s="18">
        <f>50000</f>
        <v>50000</v>
      </c>
      <c r="J190" s="36">
        <f>30000</f>
        <v>30000</v>
      </c>
      <c r="K190" s="36"/>
      <c r="L190" s="36"/>
      <c r="M190" s="36"/>
      <c r="N190" s="82">
        <f>20000</f>
        <v>20000</v>
      </c>
      <c r="O190" s="82"/>
    </row>
    <row r="191" spans="1:15" s="1" customFormat="1" ht="24" customHeight="1">
      <c r="A191" s="35" t="s">
        <v>256</v>
      </c>
      <c r="B191" s="35"/>
      <c r="C191" s="35"/>
      <c r="D191" s="35"/>
      <c r="E191" s="35"/>
      <c r="F191" s="35"/>
      <c r="G191" s="17" t="s">
        <v>168</v>
      </c>
      <c r="H191" s="17" t="s">
        <v>285</v>
      </c>
      <c r="I191" s="18">
        <f>295000</f>
        <v>295000</v>
      </c>
      <c r="J191" s="44" t="s">
        <v>51</v>
      </c>
      <c r="K191" s="44"/>
      <c r="L191" s="44"/>
      <c r="M191" s="44"/>
      <c r="N191" s="82">
        <f>295000</f>
        <v>295000</v>
      </c>
      <c r="O191" s="82"/>
    </row>
    <row r="192" spans="1:15" s="1" customFormat="1" ht="24" customHeight="1">
      <c r="A192" s="35" t="s">
        <v>256</v>
      </c>
      <c r="B192" s="35"/>
      <c r="C192" s="35"/>
      <c r="D192" s="35"/>
      <c r="E192" s="35"/>
      <c r="F192" s="35"/>
      <c r="G192" s="17" t="s">
        <v>168</v>
      </c>
      <c r="H192" s="17" t="s">
        <v>286</v>
      </c>
      <c r="I192" s="18">
        <f>415000</f>
        <v>415000</v>
      </c>
      <c r="J192" s="36">
        <f>95000</f>
        <v>95000</v>
      </c>
      <c r="K192" s="36"/>
      <c r="L192" s="36"/>
      <c r="M192" s="36"/>
      <c r="N192" s="82">
        <f>320000</f>
        <v>320000</v>
      </c>
      <c r="O192" s="82"/>
    </row>
    <row r="193" spans="1:15" s="1" customFormat="1" ht="24" customHeight="1">
      <c r="A193" s="35" t="s">
        <v>256</v>
      </c>
      <c r="B193" s="35"/>
      <c r="C193" s="35"/>
      <c r="D193" s="35"/>
      <c r="E193" s="35"/>
      <c r="F193" s="35"/>
      <c r="G193" s="17" t="s">
        <v>168</v>
      </c>
      <c r="H193" s="17" t="s">
        <v>287</v>
      </c>
      <c r="I193" s="18">
        <f>5000</f>
        <v>5000</v>
      </c>
      <c r="J193" s="36">
        <f>5000</f>
        <v>5000</v>
      </c>
      <c r="K193" s="36"/>
      <c r="L193" s="36"/>
      <c r="M193" s="36"/>
      <c r="N193" s="82">
        <f>0</f>
        <v>0</v>
      </c>
      <c r="O193" s="82"/>
    </row>
    <row r="194" spans="1:15" s="1" customFormat="1" ht="24" customHeight="1">
      <c r="A194" s="35" t="s">
        <v>177</v>
      </c>
      <c r="B194" s="35"/>
      <c r="C194" s="35"/>
      <c r="D194" s="35"/>
      <c r="E194" s="35"/>
      <c r="F194" s="35"/>
      <c r="G194" s="17" t="s">
        <v>168</v>
      </c>
      <c r="H194" s="17" t="s">
        <v>288</v>
      </c>
      <c r="I194" s="18">
        <f>30000</f>
        <v>30000</v>
      </c>
      <c r="J194" s="44" t="s">
        <v>51</v>
      </c>
      <c r="K194" s="44"/>
      <c r="L194" s="44"/>
      <c r="M194" s="44"/>
      <c r="N194" s="82">
        <f>30000</f>
        <v>30000</v>
      </c>
      <c r="O194" s="82"/>
    </row>
    <row r="195" spans="1:15" s="1" customFormat="1" ht="24" customHeight="1">
      <c r="A195" s="35" t="s">
        <v>179</v>
      </c>
      <c r="B195" s="35"/>
      <c r="C195" s="35"/>
      <c r="D195" s="35"/>
      <c r="E195" s="35"/>
      <c r="F195" s="35"/>
      <c r="G195" s="17" t="s">
        <v>168</v>
      </c>
      <c r="H195" s="17" t="s">
        <v>289</v>
      </c>
      <c r="I195" s="18">
        <f>452491</f>
        <v>452491</v>
      </c>
      <c r="J195" s="36">
        <f>192491</f>
        <v>192491</v>
      </c>
      <c r="K195" s="36"/>
      <c r="L195" s="36"/>
      <c r="M195" s="36"/>
      <c r="N195" s="82">
        <f>260000</f>
        <v>260000</v>
      </c>
      <c r="O195" s="82"/>
    </row>
    <row r="196" spans="1:15" s="1" customFormat="1" ht="24" customHeight="1">
      <c r="A196" s="35" t="s">
        <v>179</v>
      </c>
      <c r="B196" s="35"/>
      <c r="C196" s="35"/>
      <c r="D196" s="35"/>
      <c r="E196" s="35"/>
      <c r="F196" s="35"/>
      <c r="G196" s="17" t="s">
        <v>168</v>
      </c>
      <c r="H196" s="17" t="s">
        <v>290</v>
      </c>
      <c r="I196" s="18">
        <f>379285</f>
        <v>379285</v>
      </c>
      <c r="J196" s="36">
        <f>92000</f>
        <v>92000</v>
      </c>
      <c r="K196" s="36"/>
      <c r="L196" s="36"/>
      <c r="M196" s="36"/>
      <c r="N196" s="82">
        <f>287285</f>
        <v>287285</v>
      </c>
      <c r="O196" s="82"/>
    </row>
    <row r="197" spans="1:15" s="1" customFormat="1" ht="24" customHeight="1">
      <c r="A197" s="35" t="s">
        <v>177</v>
      </c>
      <c r="B197" s="35"/>
      <c r="C197" s="35"/>
      <c r="D197" s="35"/>
      <c r="E197" s="35"/>
      <c r="F197" s="35"/>
      <c r="G197" s="17" t="s">
        <v>168</v>
      </c>
      <c r="H197" s="17" t="s">
        <v>291</v>
      </c>
      <c r="I197" s="18">
        <f>60000</f>
        <v>60000</v>
      </c>
      <c r="J197" s="36">
        <f>60000</f>
        <v>60000</v>
      </c>
      <c r="K197" s="36"/>
      <c r="L197" s="36"/>
      <c r="M197" s="36"/>
      <c r="N197" s="82">
        <f>0</f>
        <v>0</v>
      </c>
      <c r="O197" s="82"/>
    </row>
    <row r="198" spans="1:15" s="1" customFormat="1" ht="24" customHeight="1">
      <c r="A198" s="35" t="s">
        <v>179</v>
      </c>
      <c r="B198" s="35"/>
      <c r="C198" s="35"/>
      <c r="D198" s="35"/>
      <c r="E198" s="35"/>
      <c r="F198" s="35"/>
      <c r="G198" s="17" t="s">
        <v>168</v>
      </c>
      <c r="H198" s="17" t="s">
        <v>292</v>
      </c>
      <c r="I198" s="18">
        <f>200</f>
        <v>200</v>
      </c>
      <c r="J198" s="44" t="s">
        <v>51</v>
      </c>
      <c r="K198" s="44"/>
      <c r="L198" s="44"/>
      <c r="M198" s="44"/>
      <c r="N198" s="82">
        <f>200</f>
        <v>200</v>
      </c>
      <c r="O198" s="82"/>
    </row>
    <row r="199" spans="1:15" s="1" customFormat="1" ht="24" customHeight="1">
      <c r="A199" s="35" t="s">
        <v>179</v>
      </c>
      <c r="B199" s="35"/>
      <c r="C199" s="35"/>
      <c r="D199" s="35"/>
      <c r="E199" s="35"/>
      <c r="F199" s="35"/>
      <c r="G199" s="17" t="s">
        <v>168</v>
      </c>
      <c r="H199" s="17" t="s">
        <v>293</v>
      </c>
      <c r="I199" s="18">
        <f>16000</f>
        <v>16000</v>
      </c>
      <c r="J199" s="36">
        <f>15649.82</f>
        <v>15649.82</v>
      </c>
      <c r="K199" s="36"/>
      <c r="L199" s="36"/>
      <c r="M199" s="36"/>
      <c r="N199" s="82">
        <f>350.18</f>
        <v>350.18</v>
      </c>
      <c r="O199" s="82"/>
    </row>
    <row r="200" spans="1:15" s="1" customFormat="1" ht="24" customHeight="1">
      <c r="A200" s="35" t="s">
        <v>294</v>
      </c>
      <c r="B200" s="35"/>
      <c r="C200" s="35"/>
      <c r="D200" s="35"/>
      <c r="E200" s="35"/>
      <c r="F200" s="35"/>
      <c r="G200" s="17" t="s">
        <v>168</v>
      </c>
      <c r="H200" s="17" t="s">
        <v>295</v>
      </c>
      <c r="I200" s="18">
        <f>200000</f>
        <v>200000</v>
      </c>
      <c r="J200" s="36">
        <f>200000</f>
        <v>200000</v>
      </c>
      <c r="K200" s="36"/>
      <c r="L200" s="36"/>
      <c r="M200" s="36"/>
      <c r="N200" s="82">
        <f>0</f>
        <v>0</v>
      </c>
      <c r="O200" s="82"/>
    </row>
    <row r="201" spans="1:15" s="1" customFormat="1" ht="24" customHeight="1">
      <c r="A201" s="35" t="s">
        <v>296</v>
      </c>
      <c r="B201" s="35"/>
      <c r="C201" s="35"/>
      <c r="D201" s="35"/>
      <c r="E201" s="35"/>
      <c r="F201" s="35"/>
      <c r="G201" s="17" t="s">
        <v>168</v>
      </c>
      <c r="H201" s="17" t="s">
        <v>297</v>
      </c>
      <c r="I201" s="18">
        <f>1100000</f>
        <v>1100000</v>
      </c>
      <c r="J201" s="36">
        <f>1082896.07</f>
        <v>1082896.07</v>
      </c>
      <c r="K201" s="36"/>
      <c r="L201" s="36"/>
      <c r="M201" s="36"/>
      <c r="N201" s="82">
        <f>17103.93</f>
        <v>17103.93</v>
      </c>
      <c r="O201" s="82"/>
    </row>
    <row r="202" spans="1:15" s="1" customFormat="1" ht="24" customHeight="1">
      <c r="A202" s="35" t="s">
        <v>256</v>
      </c>
      <c r="B202" s="35"/>
      <c r="C202" s="35"/>
      <c r="D202" s="35"/>
      <c r="E202" s="35"/>
      <c r="F202" s="35"/>
      <c r="G202" s="17" t="s">
        <v>168</v>
      </c>
      <c r="H202" s="17" t="s">
        <v>298</v>
      </c>
      <c r="I202" s="18">
        <f>1756000</f>
        <v>1756000</v>
      </c>
      <c r="J202" s="36">
        <f>1756000</f>
        <v>1756000</v>
      </c>
      <c r="K202" s="36"/>
      <c r="L202" s="36"/>
      <c r="M202" s="36"/>
      <c r="N202" s="82">
        <f>0</f>
        <v>0</v>
      </c>
      <c r="O202" s="82"/>
    </row>
    <row r="203" spans="1:15" s="1" customFormat="1" ht="24" customHeight="1">
      <c r="A203" s="35" t="s">
        <v>256</v>
      </c>
      <c r="B203" s="35"/>
      <c r="C203" s="35"/>
      <c r="D203" s="35"/>
      <c r="E203" s="35"/>
      <c r="F203" s="35"/>
      <c r="G203" s="17" t="s">
        <v>168</v>
      </c>
      <c r="H203" s="17" t="s">
        <v>299</v>
      </c>
      <c r="I203" s="18">
        <f>550000</f>
        <v>550000</v>
      </c>
      <c r="J203" s="36">
        <f>550000</f>
        <v>550000</v>
      </c>
      <c r="K203" s="36"/>
      <c r="L203" s="36"/>
      <c r="M203" s="36"/>
      <c r="N203" s="82">
        <f>0</f>
        <v>0</v>
      </c>
      <c r="O203" s="82"/>
    </row>
    <row r="204" spans="1:15" s="1" customFormat="1" ht="24" customHeight="1">
      <c r="A204" s="35" t="s">
        <v>256</v>
      </c>
      <c r="B204" s="35"/>
      <c r="C204" s="35"/>
      <c r="D204" s="35"/>
      <c r="E204" s="35"/>
      <c r="F204" s="35"/>
      <c r="G204" s="17" t="s">
        <v>168</v>
      </c>
      <c r="H204" s="17" t="s">
        <v>300</v>
      </c>
      <c r="I204" s="18">
        <f>900000</f>
        <v>900000</v>
      </c>
      <c r="J204" s="36">
        <f>900000</f>
        <v>900000</v>
      </c>
      <c r="K204" s="36"/>
      <c r="L204" s="36"/>
      <c r="M204" s="36"/>
      <c r="N204" s="82">
        <f>0</f>
        <v>0</v>
      </c>
      <c r="O204" s="82"/>
    </row>
    <row r="205" spans="1:15" s="1" customFormat="1" ht="24" customHeight="1">
      <c r="A205" s="35" t="s">
        <v>256</v>
      </c>
      <c r="B205" s="35"/>
      <c r="C205" s="35"/>
      <c r="D205" s="35"/>
      <c r="E205" s="35"/>
      <c r="F205" s="35"/>
      <c r="G205" s="17" t="s">
        <v>168</v>
      </c>
      <c r="H205" s="17" t="s">
        <v>301</v>
      </c>
      <c r="I205" s="18">
        <f>1733300</f>
        <v>1733300</v>
      </c>
      <c r="J205" s="36">
        <f>1463838.61</f>
        <v>1463838.61</v>
      </c>
      <c r="K205" s="36"/>
      <c r="L205" s="36"/>
      <c r="M205" s="36"/>
      <c r="N205" s="82">
        <f>269461.39</f>
        <v>269461.39</v>
      </c>
      <c r="O205" s="82"/>
    </row>
    <row r="206" spans="1:15" s="1" customFormat="1" ht="24" customHeight="1">
      <c r="A206" s="35" t="s">
        <v>256</v>
      </c>
      <c r="B206" s="35"/>
      <c r="C206" s="35"/>
      <c r="D206" s="35"/>
      <c r="E206" s="35"/>
      <c r="F206" s="35"/>
      <c r="G206" s="17" t="s">
        <v>168</v>
      </c>
      <c r="H206" s="17" t="s">
        <v>302</v>
      </c>
      <c r="I206" s="18">
        <f>100000</f>
        <v>100000</v>
      </c>
      <c r="J206" s="36">
        <f>100000</f>
        <v>100000</v>
      </c>
      <c r="K206" s="36"/>
      <c r="L206" s="36"/>
      <c r="M206" s="36"/>
      <c r="N206" s="82">
        <f>0</f>
        <v>0</v>
      </c>
      <c r="O206" s="82"/>
    </row>
    <row r="207" spans="1:15" s="1" customFormat="1" ht="24" customHeight="1">
      <c r="A207" s="35" t="s">
        <v>256</v>
      </c>
      <c r="B207" s="35"/>
      <c r="C207" s="35"/>
      <c r="D207" s="35"/>
      <c r="E207" s="35"/>
      <c r="F207" s="35"/>
      <c r="G207" s="17" t="s">
        <v>168</v>
      </c>
      <c r="H207" s="17" t="s">
        <v>303</v>
      </c>
      <c r="I207" s="18">
        <f>350000</f>
        <v>350000</v>
      </c>
      <c r="J207" s="36">
        <f>350000</f>
        <v>350000</v>
      </c>
      <c r="K207" s="36"/>
      <c r="L207" s="36"/>
      <c r="M207" s="36"/>
      <c r="N207" s="82">
        <f>0</f>
        <v>0</v>
      </c>
      <c r="O207" s="82"/>
    </row>
    <row r="208" spans="1:15" s="1" customFormat="1" ht="24" customHeight="1">
      <c r="A208" s="35" t="s">
        <v>304</v>
      </c>
      <c r="B208" s="35"/>
      <c r="C208" s="35"/>
      <c r="D208" s="35"/>
      <c r="E208" s="35"/>
      <c r="F208" s="35"/>
      <c r="G208" s="17" t="s">
        <v>168</v>
      </c>
      <c r="H208" s="17" t="s">
        <v>305</v>
      </c>
      <c r="I208" s="18">
        <f>862000</f>
        <v>862000</v>
      </c>
      <c r="J208" s="36">
        <f>62000</f>
        <v>62000</v>
      </c>
      <c r="K208" s="36"/>
      <c r="L208" s="36"/>
      <c r="M208" s="36"/>
      <c r="N208" s="82">
        <f>800000</f>
        <v>800000</v>
      </c>
      <c r="O208" s="82"/>
    </row>
    <row r="209" spans="1:15" s="1" customFormat="1" ht="24" customHeight="1">
      <c r="A209" s="35" t="s">
        <v>179</v>
      </c>
      <c r="B209" s="35"/>
      <c r="C209" s="35"/>
      <c r="D209" s="35"/>
      <c r="E209" s="35"/>
      <c r="F209" s="35"/>
      <c r="G209" s="17" t="s">
        <v>168</v>
      </c>
      <c r="H209" s="17" t="s">
        <v>306</v>
      </c>
      <c r="I209" s="18">
        <f>1712100</f>
        <v>1712100</v>
      </c>
      <c r="J209" s="44" t="s">
        <v>51</v>
      </c>
      <c r="K209" s="44"/>
      <c r="L209" s="44"/>
      <c r="M209" s="44"/>
      <c r="N209" s="82">
        <f>1712100</f>
        <v>1712100</v>
      </c>
      <c r="O209" s="82"/>
    </row>
    <row r="210" spans="1:15" s="1" customFormat="1" ht="24" customHeight="1">
      <c r="A210" s="35" t="s">
        <v>179</v>
      </c>
      <c r="B210" s="35"/>
      <c r="C210" s="35"/>
      <c r="D210" s="35"/>
      <c r="E210" s="35"/>
      <c r="F210" s="35"/>
      <c r="G210" s="17" t="s">
        <v>168</v>
      </c>
      <c r="H210" s="17" t="s">
        <v>307</v>
      </c>
      <c r="I210" s="18">
        <f>17300</f>
        <v>17300</v>
      </c>
      <c r="J210" s="44" t="s">
        <v>51</v>
      </c>
      <c r="K210" s="44"/>
      <c r="L210" s="44"/>
      <c r="M210" s="44"/>
      <c r="N210" s="82">
        <f>17300</f>
        <v>17300</v>
      </c>
      <c r="O210" s="82"/>
    </row>
    <row r="211" spans="1:15" s="1" customFormat="1" ht="24" customHeight="1">
      <c r="A211" s="35" t="s">
        <v>179</v>
      </c>
      <c r="B211" s="35"/>
      <c r="C211" s="35"/>
      <c r="D211" s="35"/>
      <c r="E211" s="35"/>
      <c r="F211" s="35"/>
      <c r="G211" s="17" t="s">
        <v>168</v>
      </c>
      <c r="H211" s="17" t="s">
        <v>308</v>
      </c>
      <c r="I211" s="18">
        <f>140100</f>
        <v>140100</v>
      </c>
      <c r="J211" s="36">
        <f>77000</f>
        <v>77000</v>
      </c>
      <c r="K211" s="36"/>
      <c r="L211" s="36"/>
      <c r="M211" s="36"/>
      <c r="N211" s="82">
        <f>63100</f>
        <v>63100</v>
      </c>
      <c r="O211" s="82"/>
    </row>
    <row r="212" spans="1:15" s="1" customFormat="1" ht="24" customHeight="1">
      <c r="A212" s="35" t="s">
        <v>296</v>
      </c>
      <c r="B212" s="35"/>
      <c r="C212" s="35"/>
      <c r="D212" s="35"/>
      <c r="E212" s="35"/>
      <c r="F212" s="35"/>
      <c r="G212" s="17" t="s">
        <v>168</v>
      </c>
      <c r="H212" s="17" t="s">
        <v>309</v>
      </c>
      <c r="I212" s="18">
        <f>962000</f>
        <v>962000</v>
      </c>
      <c r="J212" s="36">
        <f>895312</f>
        <v>895312</v>
      </c>
      <c r="K212" s="36"/>
      <c r="L212" s="36"/>
      <c r="M212" s="36"/>
      <c r="N212" s="82">
        <f>66688</f>
        <v>66688</v>
      </c>
      <c r="O212" s="82"/>
    </row>
    <row r="213" spans="1:15" s="1" customFormat="1" ht="24" customHeight="1">
      <c r="A213" s="35" t="s">
        <v>296</v>
      </c>
      <c r="B213" s="35"/>
      <c r="C213" s="35"/>
      <c r="D213" s="35"/>
      <c r="E213" s="35"/>
      <c r="F213" s="35"/>
      <c r="G213" s="17" t="s">
        <v>168</v>
      </c>
      <c r="H213" s="17" t="s">
        <v>310</v>
      </c>
      <c r="I213" s="18">
        <f>4000000</f>
        <v>4000000</v>
      </c>
      <c r="J213" s="36">
        <f>3952479</f>
        <v>3952479</v>
      </c>
      <c r="K213" s="36"/>
      <c r="L213" s="36"/>
      <c r="M213" s="36"/>
      <c r="N213" s="82">
        <f>47521</f>
        <v>47521</v>
      </c>
      <c r="O213" s="82"/>
    </row>
    <row r="214" spans="1:15" s="1" customFormat="1" ht="24" customHeight="1">
      <c r="A214" s="35" t="s">
        <v>179</v>
      </c>
      <c r="B214" s="35"/>
      <c r="C214" s="35"/>
      <c r="D214" s="35"/>
      <c r="E214" s="35"/>
      <c r="F214" s="35"/>
      <c r="G214" s="17" t="s">
        <v>168</v>
      </c>
      <c r="H214" s="17" t="s">
        <v>311</v>
      </c>
      <c r="I214" s="18">
        <f>1500000</f>
        <v>1500000</v>
      </c>
      <c r="J214" s="44" t="s">
        <v>51</v>
      </c>
      <c r="K214" s="44"/>
      <c r="L214" s="44"/>
      <c r="M214" s="44"/>
      <c r="N214" s="82">
        <f>1500000</f>
        <v>1500000</v>
      </c>
      <c r="O214" s="82"/>
    </row>
    <row r="215" spans="1:15" s="1" customFormat="1" ht="24" customHeight="1">
      <c r="A215" s="35" t="s">
        <v>296</v>
      </c>
      <c r="B215" s="35"/>
      <c r="C215" s="35"/>
      <c r="D215" s="35"/>
      <c r="E215" s="35"/>
      <c r="F215" s="35"/>
      <c r="G215" s="17" t="s">
        <v>168</v>
      </c>
      <c r="H215" s="17" t="s">
        <v>312</v>
      </c>
      <c r="I215" s="18">
        <f>2287300</f>
        <v>2287300</v>
      </c>
      <c r="J215" s="36">
        <f>1964329</f>
        <v>1964329</v>
      </c>
      <c r="K215" s="36"/>
      <c r="L215" s="36"/>
      <c r="M215" s="36"/>
      <c r="N215" s="82">
        <f>322971</f>
        <v>322971</v>
      </c>
      <c r="O215" s="82"/>
    </row>
    <row r="216" spans="1:15" s="1" customFormat="1" ht="24" customHeight="1">
      <c r="A216" s="35" t="s">
        <v>296</v>
      </c>
      <c r="B216" s="35"/>
      <c r="C216" s="35"/>
      <c r="D216" s="35"/>
      <c r="E216" s="35"/>
      <c r="F216" s="35"/>
      <c r="G216" s="17" t="s">
        <v>168</v>
      </c>
      <c r="H216" s="17" t="s">
        <v>313</v>
      </c>
      <c r="I216" s="18">
        <f>1570000</f>
        <v>1570000</v>
      </c>
      <c r="J216" s="36">
        <f>1570000</f>
        <v>1570000</v>
      </c>
      <c r="K216" s="36"/>
      <c r="L216" s="36"/>
      <c r="M216" s="36"/>
      <c r="N216" s="82">
        <f>0</f>
        <v>0</v>
      </c>
      <c r="O216" s="82"/>
    </row>
    <row r="217" spans="1:15" s="1" customFormat="1" ht="33.75" customHeight="1">
      <c r="A217" s="35" t="s">
        <v>315</v>
      </c>
      <c r="B217" s="35"/>
      <c r="C217" s="35"/>
      <c r="D217" s="35"/>
      <c r="E217" s="35"/>
      <c r="F217" s="35"/>
      <c r="G217" s="17" t="s">
        <v>168</v>
      </c>
      <c r="H217" s="17" t="s">
        <v>316</v>
      </c>
      <c r="I217" s="18">
        <f>3419402</f>
        <v>3419402</v>
      </c>
      <c r="J217" s="36">
        <f>2628076</f>
        <v>2628076</v>
      </c>
      <c r="K217" s="36"/>
      <c r="L217" s="36"/>
      <c r="M217" s="36"/>
      <c r="N217" s="82">
        <f>791326</f>
        <v>791326</v>
      </c>
      <c r="O217" s="82"/>
    </row>
    <row r="218" spans="1:15" s="1" customFormat="1" ht="24" customHeight="1">
      <c r="A218" s="35" t="s">
        <v>174</v>
      </c>
      <c r="B218" s="35"/>
      <c r="C218" s="35"/>
      <c r="D218" s="35"/>
      <c r="E218" s="35"/>
      <c r="F218" s="35"/>
      <c r="G218" s="17" t="s">
        <v>168</v>
      </c>
      <c r="H218" s="17" t="s">
        <v>317</v>
      </c>
      <c r="I218" s="18">
        <f>10500</f>
        <v>10500</v>
      </c>
      <c r="J218" s="36">
        <f>2324</f>
        <v>2324</v>
      </c>
      <c r="K218" s="36"/>
      <c r="L218" s="36"/>
      <c r="M218" s="36"/>
      <c r="N218" s="82">
        <f>8176</f>
        <v>8176</v>
      </c>
      <c r="O218" s="82"/>
    </row>
    <row r="219" spans="1:15" s="1" customFormat="1" ht="24" customHeight="1">
      <c r="A219" s="35" t="s">
        <v>179</v>
      </c>
      <c r="B219" s="35"/>
      <c r="C219" s="35"/>
      <c r="D219" s="35"/>
      <c r="E219" s="35"/>
      <c r="F219" s="35"/>
      <c r="G219" s="17" t="s">
        <v>168</v>
      </c>
      <c r="H219" s="17" t="s">
        <v>318</v>
      </c>
      <c r="I219" s="18">
        <f>24000</f>
        <v>24000</v>
      </c>
      <c r="J219" s="36">
        <f>1800</f>
        <v>1800</v>
      </c>
      <c r="K219" s="36"/>
      <c r="L219" s="36"/>
      <c r="M219" s="36"/>
      <c r="N219" s="82">
        <f>22200</f>
        <v>22200</v>
      </c>
      <c r="O219" s="82"/>
    </row>
    <row r="220" spans="1:15" s="1" customFormat="1" ht="13.5" customHeight="1">
      <c r="A220" s="35" t="s">
        <v>169</v>
      </c>
      <c r="B220" s="35"/>
      <c r="C220" s="35"/>
      <c r="D220" s="35"/>
      <c r="E220" s="35"/>
      <c r="F220" s="35"/>
      <c r="G220" s="17" t="s">
        <v>168</v>
      </c>
      <c r="H220" s="17" t="s">
        <v>319</v>
      </c>
      <c r="I220" s="18">
        <f>339600</f>
        <v>339600</v>
      </c>
      <c r="J220" s="36">
        <f>213211.32</f>
        <v>213211.32</v>
      </c>
      <c r="K220" s="36"/>
      <c r="L220" s="36"/>
      <c r="M220" s="36"/>
      <c r="N220" s="82">
        <f>126388.68</f>
        <v>126388.68</v>
      </c>
      <c r="O220" s="82"/>
    </row>
    <row r="221" spans="1:15" s="1" customFormat="1" ht="33.75" customHeight="1">
      <c r="A221" s="35" t="s">
        <v>171</v>
      </c>
      <c r="B221" s="35"/>
      <c r="C221" s="35"/>
      <c r="D221" s="35"/>
      <c r="E221" s="35"/>
      <c r="F221" s="35"/>
      <c r="G221" s="17" t="s">
        <v>168</v>
      </c>
      <c r="H221" s="17" t="s">
        <v>320</v>
      </c>
      <c r="I221" s="18">
        <f>102600</f>
        <v>102600</v>
      </c>
      <c r="J221" s="36">
        <f>62330.69</f>
        <v>62330.69</v>
      </c>
      <c r="K221" s="36"/>
      <c r="L221" s="36"/>
      <c r="M221" s="36"/>
      <c r="N221" s="82">
        <f>40269.31</f>
        <v>40269.31</v>
      </c>
      <c r="O221" s="82"/>
    </row>
    <row r="222" spans="1:15" s="1" customFormat="1" ht="24" customHeight="1">
      <c r="A222" s="35" t="s">
        <v>179</v>
      </c>
      <c r="B222" s="35"/>
      <c r="C222" s="35"/>
      <c r="D222" s="35"/>
      <c r="E222" s="35"/>
      <c r="F222" s="35"/>
      <c r="G222" s="17" t="s">
        <v>168</v>
      </c>
      <c r="H222" s="17" t="s">
        <v>321</v>
      </c>
      <c r="I222" s="18">
        <f>50000</f>
        <v>50000</v>
      </c>
      <c r="J222" s="44" t="s">
        <v>51</v>
      </c>
      <c r="K222" s="44"/>
      <c r="L222" s="44"/>
      <c r="M222" s="44"/>
      <c r="N222" s="82">
        <f>50000</f>
        <v>50000</v>
      </c>
      <c r="O222" s="82"/>
    </row>
    <row r="223" spans="1:15" s="1" customFormat="1" ht="24" customHeight="1">
      <c r="A223" s="35" t="s">
        <v>179</v>
      </c>
      <c r="B223" s="35"/>
      <c r="C223" s="35"/>
      <c r="D223" s="35"/>
      <c r="E223" s="35"/>
      <c r="F223" s="35"/>
      <c r="G223" s="17" t="s">
        <v>168</v>
      </c>
      <c r="H223" s="17" t="s">
        <v>322</v>
      </c>
      <c r="I223" s="18">
        <f>190000</f>
        <v>190000</v>
      </c>
      <c r="J223" s="36">
        <f>44000</f>
        <v>44000</v>
      </c>
      <c r="K223" s="36"/>
      <c r="L223" s="36"/>
      <c r="M223" s="36"/>
      <c r="N223" s="82">
        <f>146000</f>
        <v>146000</v>
      </c>
      <c r="O223" s="82"/>
    </row>
    <row r="224" spans="1:15" s="1" customFormat="1" ht="13.5" customHeight="1">
      <c r="A224" s="35" t="s">
        <v>323</v>
      </c>
      <c r="B224" s="35"/>
      <c r="C224" s="35"/>
      <c r="D224" s="35"/>
      <c r="E224" s="35"/>
      <c r="F224" s="35"/>
      <c r="G224" s="17" t="s">
        <v>168</v>
      </c>
      <c r="H224" s="17" t="s">
        <v>324</v>
      </c>
      <c r="I224" s="18">
        <f>390000</f>
        <v>390000</v>
      </c>
      <c r="J224" s="36">
        <f>278202.17</f>
        <v>278202.17</v>
      </c>
      <c r="K224" s="36"/>
      <c r="L224" s="36"/>
      <c r="M224" s="36"/>
      <c r="N224" s="82">
        <f>111797.83</f>
        <v>111797.83</v>
      </c>
      <c r="O224" s="82"/>
    </row>
    <row r="225" spans="1:15" s="1" customFormat="1" ht="13.5" customHeight="1">
      <c r="A225" s="35" t="s">
        <v>325</v>
      </c>
      <c r="B225" s="35"/>
      <c r="C225" s="35"/>
      <c r="D225" s="35"/>
      <c r="E225" s="35"/>
      <c r="F225" s="35"/>
      <c r="G225" s="17" t="s">
        <v>168</v>
      </c>
      <c r="H225" s="17" t="s">
        <v>326</v>
      </c>
      <c r="I225" s="18">
        <f>2476681</f>
        <v>2476681</v>
      </c>
      <c r="J225" s="36">
        <f>2476681</f>
        <v>2476681</v>
      </c>
      <c r="K225" s="36"/>
      <c r="L225" s="36"/>
      <c r="M225" s="36"/>
      <c r="N225" s="82">
        <f>0</f>
        <v>0</v>
      </c>
      <c r="O225" s="82"/>
    </row>
    <row r="226" spans="1:15" s="1" customFormat="1" ht="13.5" customHeight="1">
      <c r="A226" s="35" t="s">
        <v>325</v>
      </c>
      <c r="B226" s="35"/>
      <c r="C226" s="35"/>
      <c r="D226" s="35"/>
      <c r="E226" s="35"/>
      <c r="F226" s="35"/>
      <c r="G226" s="17" t="s">
        <v>168</v>
      </c>
      <c r="H226" s="17" t="s">
        <v>327</v>
      </c>
      <c r="I226" s="18">
        <f>944439.35</f>
        <v>944439.35</v>
      </c>
      <c r="J226" s="36">
        <f>944439.35</f>
        <v>944439.35</v>
      </c>
      <c r="K226" s="36"/>
      <c r="L226" s="36"/>
      <c r="M226" s="36"/>
      <c r="N226" s="82">
        <f>0</f>
        <v>0</v>
      </c>
      <c r="O226" s="82"/>
    </row>
    <row r="227" spans="1:15" s="1" customFormat="1" ht="24" customHeight="1">
      <c r="A227" s="35" t="s">
        <v>328</v>
      </c>
      <c r="B227" s="35"/>
      <c r="C227" s="35"/>
      <c r="D227" s="35"/>
      <c r="E227" s="35"/>
      <c r="F227" s="35"/>
      <c r="G227" s="17" t="s">
        <v>168</v>
      </c>
      <c r="H227" s="17" t="s">
        <v>329</v>
      </c>
      <c r="I227" s="18">
        <f>1218420</f>
        <v>1218420</v>
      </c>
      <c r="J227" s="36">
        <f>609210</f>
        <v>609210</v>
      </c>
      <c r="K227" s="36"/>
      <c r="L227" s="36"/>
      <c r="M227" s="36"/>
      <c r="N227" s="82">
        <f>609210</f>
        <v>609210</v>
      </c>
      <c r="O227" s="82"/>
    </row>
    <row r="228" spans="1:15" s="1" customFormat="1" ht="13.5" customHeight="1">
      <c r="A228" s="35" t="s">
        <v>325</v>
      </c>
      <c r="B228" s="35"/>
      <c r="C228" s="35"/>
      <c r="D228" s="35"/>
      <c r="E228" s="35"/>
      <c r="F228" s="35"/>
      <c r="G228" s="17" t="s">
        <v>168</v>
      </c>
      <c r="H228" s="17" t="s">
        <v>330</v>
      </c>
      <c r="I228" s="18">
        <f>800000</f>
        <v>800000</v>
      </c>
      <c r="J228" s="36">
        <f>793448.3</f>
        <v>793448.3</v>
      </c>
      <c r="K228" s="36"/>
      <c r="L228" s="36"/>
      <c r="M228" s="36"/>
      <c r="N228" s="82">
        <f>6551.7</f>
        <v>6551.7</v>
      </c>
      <c r="O228" s="82"/>
    </row>
    <row r="229" spans="1:15" s="1" customFormat="1" ht="13.5" customHeight="1">
      <c r="A229" s="35" t="s">
        <v>325</v>
      </c>
      <c r="B229" s="35"/>
      <c r="C229" s="35"/>
      <c r="D229" s="35"/>
      <c r="E229" s="35"/>
      <c r="F229" s="35"/>
      <c r="G229" s="17" t="s">
        <v>168</v>
      </c>
      <c r="H229" s="17" t="s">
        <v>331</v>
      </c>
      <c r="I229" s="18">
        <f>1267760</f>
        <v>1267760</v>
      </c>
      <c r="J229" s="36">
        <f>1267760</f>
        <v>1267760</v>
      </c>
      <c r="K229" s="36"/>
      <c r="L229" s="36"/>
      <c r="M229" s="36"/>
      <c r="N229" s="82">
        <f>0</f>
        <v>0</v>
      </c>
      <c r="O229" s="82"/>
    </row>
    <row r="230" spans="1:15" s="1" customFormat="1" ht="13.5" customHeight="1">
      <c r="A230" s="35" t="s">
        <v>325</v>
      </c>
      <c r="B230" s="35"/>
      <c r="C230" s="35"/>
      <c r="D230" s="35"/>
      <c r="E230" s="35"/>
      <c r="F230" s="35"/>
      <c r="G230" s="17" t="s">
        <v>168</v>
      </c>
      <c r="H230" s="17" t="s">
        <v>332</v>
      </c>
      <c r="I230" s="18">
        <f>539625.65</f>
        <v>539625.65</v>
      </c>
      <c r="J230" s="36">
        <f>539625.65</f>
        <v>539625.65</v>
      </c>
      <c r="K230" s="36"/>
      <c r="L230" s="36"/>
      <c r="M230" s="36"/>
      <c r="N230" s="82">
        <f>0</f>
        <v>0</v>
      </c>
      <c r="O230" s="82"/>
    </row>
    <row r="231" spans="1:15" s="1" customFormat="1" ht="24" customHeight="1">
      <c r="A231" s="35" t="s">
        <v>179</v>
      </c>
      <c r="B231" s="35"/>
      <c r="C231" s="35"/>
      <c r="D231" s="35"/>
      <c r="E231" s="35"/>
      <c r="F231" s="35"/>
      <c r="G231" s="17" t="s">
        <v>168</v>
      </c>
      <c r="H231" s="17" t="s">
        <v>333</v>
      </c>
      <c r="I231" s="18">
        <f>50000</f>
        <v>50000</v>
      </c>
      <c r="J231" s="44" t="s">
        <v>51</v>
      </c>
      <c r="K231" s="44"/>
      <c r="L231" s="44"/>
      <c r="M231" s="44"/>
      <c r="N231" s="82">
        <f>50000</f>
        <v>50000</v>
      </c>
      <c r="O231" s="82"/>
    </row>
    <row r="232" spans="1:15" s="1" customFormat="1" ht="13.5" customHeight="1">
      <c r="A232" s="35" t="s">
        <v>237</v>
      </c>
      <c r="B232" s="35"/>
      <c r="C232" s="35"/>
      <c r="D232" s="35"/>
      <c r="E232" s="35"/>
      <c r="F232" s="35"/>
      <c r="G232" s="17" t="s">
        <v>168</v>
      </c>
      <c r="H232" s="17" t="s">
        <v>334</v>
      </c>
      <c r="I232" s="18">
        <f>110000</f>
        <v>110000</v>
      </c>
      <c r="J232" s="36">
        <f>90708</f>
        <v>90708</v>
      </c>
      <c r="K232" s="36"/>
      <c r="L232" s="36"/>
      <c r="M232" s="36"/>
      <c r="N232" s="82">
        <f>19292</f>
        <v>19292</v>
      </c>
      <c r="O232" s="82"/>
    </row>
    <row r="233" spans="1:15" s="1" customFormat="1" ht="33.75" customHeight="1">
      <c r="A233" s="35" t="s">
        <v>184</v>
      </c>
      <c r="B233" s="35"/>
      <c r="C233" s="35"/>
      <c r="D233" s="35"/>
      <c r="E233" s="35"/>
      <c r="F233" s="35"/>
      <c r="G233" s="17" t="s">
        <v>168</v>
      </c>
      <c r="H233" s="17" t="s">
        <v>335</v>
      </c>
      <c r="I233" s="18">
        <f>208250</f>
        <v>208250</v>
      </c>
      <c r="J233" s="36">
        <f>185290</f>
        <v>185290</v>
      </c>
      <c r="K233" s="36"/>
      <c r="L233" s="36"/>
      <c r="M233" s="36"/>
      <c r="N233" s="82">
        <f>22960</f>
        <v>22960</v>
      </c>
      <c r="O233" s="82"/>
    </row>
    <row r="234" spans="1:15" s="1" customFormat="1" ht="24" customHeight="1">
      <c r="A234" s="35" t="s">
        <v>179</v>
      </c>
      <c r="B234" s="35"/>
      <c r="C234" s="35"/>
      <c r="D234" s="35"/>
      <c r="E234" s="35"/>
      <c r="F234" s="35"/>
      <c r="G234" s="17" t="s">
        <v>168</v>
      </c>
      <c r="H234" s="17" t="s">
        <v>336</v>
      </c>
      <c r="I234" s="18">
        <f>624230</f>
        <v>624230</v>
      </c>
      <c r="J234" s="36">
        <f>251229.29</f>
        <v>251229.29</v>
      </c>
      <c r="K234" s="36"/>
      <c r="L234" s="36"/>
      <c r="M234" s="36"/>
      <c r="N234" s="82">
        <f>373000.71</f>
        <v>373000.71</v>
      </c>
      <c r="O234" s="82"/>
    </row>
    <row r="235" spans="1:15" s="1" customFormat="1" ht="13.5" customHeight="1">
      <c r="A235" s="35" t="s">
        <v>237</v>
      </c>
      <c r="B235" s="35"/>
      <c r="C235" s="35"/>
      <c r="D235" s="35"/>
      <c r="E235" s="35"/>
      <c r="F235" s="35"/>
      <c r="G235" s="17" t="s">
        <v>168</v>
      </c>
      <c r="H235" s="17" t="s">
        <v>337</v>
      </c>
      <c r="I235" s="18">
        <f>70000</f>
        <v>70000</v>
      </c>
      <c r="J235" s="44" t="s">
        <v>51</v>
      </c>
      <c r="K235" s="44"/>
      <c r="L235" s="44"/>
      <c r="M235" s="44"/>
      <c r="N235" s="82">
        <f>70000</f>
        <v>70000</v>
      </c>
      <c r="O235" s="82"/>
    </row>
    <row r="236" spans="1:15" s="1" customFormat="1" ht="24" customHeight="1">
      <c r="A236" s="35" t="s">
        <v>294</v>
      </c>
      <c r="B236" s="35"/>
      <c r="C236" s="35"/>
      <c r="D236" s="35"/>
      <c r="E236" s="35"/>
      <c r="F236" s="35"/>
      <c r="G236" s="17" t="s">
        <v>168</v>
      </c>
      <c r="H236" s="17" t="s">
        <v>338</v>
      </c>
      <c r="I236" s="18">
        <f>200000</f>
        <v>200000</v>
      </c>
      <c r="J236" s="36">
        <f>166900</f>
        <v>166900</v>
      </c>
      <c r="K236" s="36"/>
      <c r="L236" s="36"/>
      <c r="M236" s="36"/>
      <c r="N236" s="82">
        <f>33100</f>
        <v>33100</v>
      </c>
      <c r="O236" s="82"/>
    </row>
    <row r="237" spans="1:15" s="1" customFormat="1" ht="24" customHeight="1">
      <c r="A237" s="35" t="s">
        <v>294</v>
      </c>
      <c r="B237" s="35"/>
      <c r="C237" s="35"/>
      <c r="D237" s="35"/>
      <c r="E237" s="35"/>
      <c r="F237" s="35"/>
      <c r="G237" s="17" t="s">
        <v>168</v>
      </c>
      <c r="H237" s="17" t="s">
        <v>339</v>
      </c>
      <c r="I237" s="18">
        <f>1890000</f>
        <v>1890000</v>
      </c>
      <c r="J237" s="36">
        <f>1575000</f>
        <v>1575000</v>
      </c>
      <c r="K237" s="36"/>
      <c r="L237" s="36"/>
      <c r="M237" s="36"/>
      <c r="N237" s="82">
        <f>315000</f>
        <v>315000</v>
      </c>
      <c r="O237" s="82"/>
    </row>
    <row r="238" spans="1:15" s="1" customFormat="1" ht="33.75" customHeight="1">
      <c r="A238" s="35" t="s">
        <v>314</v>
      </c>
      <c r="B238" s="35"/>
      <c r="C238" s="35"/>
      <c r="D238" s="35"/>
      <c r="E238" s="35"/>
      <c r="F238" s="35"/>
      <c r="G238" s="17" t="s">
        <v>168</v>
      </c>
      <c r="H238" s="17" t="s">
        <v>340</v>
      </c>
      <c r="I238" s="18">
        <f>3790745</f>
        <v>3790745</v>
      </c>
      <c r="J238" s="36">
        <f>3052535</f>
        <v>3052535</v>
      </c>
      <c r="K238" s="36"/>
      <c r="L238" s="36"/>
      <c r="M238" s="36"/>
      <c r="N238" s="82">
        <f>738210</f>
        <v>738210</v>
      </c>
      <c r="O238" s="82"/>
    </row>
    <row r="239" spans="1:15" s="1" customFormat="1" ht="33.75" customHeight="1">
      <c r="A239" s="35" t="s">
        <v>314</v>
      </c>
      <c r="B239" s="35"/>
      <c r="C239" s="35"/>
      <c r="D239" s="35"/>
      <c r="E239" s="35"/>
      <c r="F239" s="35"/>
      <c r="G239" s="17" t="s">
        <v>168</v>
      </c>
      <c r="H239" s="17" t="s">
        <v>341</v>
      </c>
      <c r="I239" s="18">
        <f>946772</f>
        <v>946772</v>
      </c>
      <c r="J239" s="36">
        <f>722068.53</f>
        <v>722068.53</v>
      </c>
      <c r="K239" s="36"/>
      <c r="L239" s="36"/>
      <c r="M239" s="36"/>
      <c r="N239" s="82">
        <f>224703.47</f>
        <v>224703.47</v>
      </c>
      <c r="O239" s="82"/>
    </row>
    <row r="240" spans="1:15" s="1" customFormat="1" ht="13.5" customHeight="1">
      <c r="A240" s="35" t="s">
        <v>342</v>
      </c>
      <c r="B240" s="35"/>
      <c r="C240" s="35"/>
      <c r="D240" s="35"/>
      <c r="E240" s="35"/>
      <c r="F240" s="35"/>
      <c r="G240" s="17" t="s">
        <v>168</v>
      </c>
      <c r="H240" s="17" t="s">
        <v>343</v>
      </c>
      <c r="I240" s="18">
        <f>1027311.2</f>
        <v>1027311.2</v>
      </c>
      <c r="J240" s="36">
        <f>1027311.2</f>
        <v>1027311.2</v>
      </c>
      <c r="K240" s="36"/>
      <c r="L240" s="36"/>
      <c r="M240" s="36"/>
      <c r="N240" s="82">
        <f>0</f>
        <v>0</v>
      </c>
      <c r="O240" s="82"/>
    </row>
    <row r="241" spans="1:15" s="1" customFormat="1" ht="13.5" customHeight="1">
      <c r="A241" s="35" t="s">
        <v>342</v>
      </c>
      <c r="B241" s="35"/>
      <c r="C241" s="35"/>
      <c r="D241" s="35"/>
      <c r="E241" s="35"/>
      <c r="F241" s="35"/>
      <c r="G241" s="17" t="s">
        <v>168</v>
      </c>
      <c r="H241" s="17" t="s">
        <v>344</v>
      </c>
      <c r="I241" s="18">
        <f>166700</f>
        <v>166700</v>
      </c>
      <c r="J241" s="44" t="s">
        <v>51</v>
      </c>
      <c r="K241" s="44"/>
      <c r="L241" s="44"/>
      <c r="M241" s="44"/>
      <c r="N241" s="82">
        <f>166700</f>
        <v>166700</v>
      </c>
      <c r="O241" s="82"/>
    </row>
    <row r="242" spans="1:15" s="1" customFormat="1" ht="13.5" customHeight="1">
      <c r="A242" s="35" t="s">
        <v>169</v>
      </c>
      <c r="B242" s="35"/>
      <c r="C242" s="35"/>
      <c r="D242" s="35"/>
      <c r="E242" s="35"/>
      <c r="F242" s="35"/>
      <c r="G242" s="17" t="s">
        <v>168</v>
      </c>
      <c r="H242" s="17" t="s">
        <v>345</v>
      </c>
      <c r="I242" s="18">
        <f>37200</f>
        <v>37200</v>
      </c>
      <c r="J242" s="36">
        <f>26061</f>
        <v>26061</v>
      </c>
      <c r="K242" s="36"/>
      <c r="L242" s="36"/>
      <c r="M242" s="36"/>
      <c r="N242" s="82">
        <f>11139</f>
        <v>11139</v>
      </c>
      <c r="O242" s="82"/>
    </row>
    <row r="243" spans="1:15" s="1" customFormat="1" ht="33.75" customHeight="1">
      <c r="A243" s="35" t="s">
        <v>171</v>
      </c>
      <c r="B243" s="35"/>
      <c r="C243" s="35"/>
      <c r="D243" s="35"/>
      <c r="E243" s="35"/>
      <c r="F243" s="35"/>
      <c r="G243" s="17" t="s">
        <v>168</v>
      </c>
      <c r="H243" s="17" t="s">
        <v>346</v>
      </c>
      <c r="I243" s="18">
        <f>11200</f>
        <v>11200</v>
      </c>
      <c r="J243" s="36">
        <f>7870.43</f>
        <v>7870.43</v>
      </c>
      <c r="K243" s="36"/>
      <c r="L243" s="36"/>
      <c r="M243" s="36"/>
      <c r="N243" s="82">
        <f>3329.57</f>
        <v>3329.57</v>
      </c>
      <c r="O243" s="82"/>
    </row>
    <row r="244" spans="1:15" s="1" customFormat="1" ht="24" customHeight="1">
      <c r="A244" s="35" t="s">
        <v>179</v>
      </c>
      <c r="B244" s="35"/>
      <c r="C244" s="35"/>
      <c r="D244" s="35"/>
      <c r="E244" s="35"/>
      <c r="F244" s="35"/>
      <c r="G244" s="17" t="s">
        <v>168</v>
      </c>
      <c r="H244" s="17" t="s">
        <v>347</v>
      </c>
      <c r="I244" s="18">
        <f>239100</f>
        <v>239100</v>
      </c>
      <c r="J244" s="36">
        <f>48544.8</f>
        <v>48544.8</v>
      </c>
      <c r="K244" s="36"/>
      <c r="L244" s="36"/>
      <c r="M244" s="36"/>
      <c r="N244" s="82">
        <f>190555.2</f>
        <v>190555.2</v>
      </c>
      <c r="O244" s="82"/>
    </row>
    <row r="245" spans="1:15" s="1" customFormat="1" ht="33.75" customHeight="1">
      <c r="A245" s="35" t="s">
        <v>314</v>
      </c>
      <c r="B245" s="35"/>
      <c r="C245" s="35"/>
      <c r="D245" s="35"/>
      <c r="E245" s="35"/>
      <c r="F245" s="35"/>
      <c r="G245" s="17" t="s">
        <v>168</v>
      </c>
      <c r="H245" s="17" t="s">
        <v>348</v>
      </c>
      <c r="I245" s="18">
        <f>19283683</f>
        <v>19283683</v>
      </c>
      <c r="J245" s="36">
        <f>14752945.5</f>
        <v>14752945.5</v>
      </c>
      <c r="K245" s="36"/>
      <c r="L245" s="36"/>
      <c r="M245" s="36"/>
      <c r="N245" s="82">
        <f>4530737.5</f>
        <v>4530737.5</v>
      </c>
      <c r="O245" s="82"/>
    </row>
    <row r="246" spans="1:15" s="1" customFormat="1" ht="13.5" customHeight="1">
      <c r="A246" s="35" t="s">
        <v>342</v>
      </c>
      <c r="B246" s="35"/>
      <c r="C246" s="35"/>
      <c r="D246" s="35"/>
      <c r="E246" s="35"/>
      <c r="F246" s="35"/>
      <c r="G246" s="17" t="s">
        <v>168</v>
      </c>
      <c r="H246" s="17" t="s">
        <v>349</v>
      </c>
      <c r="I246" s="18">
        <f>400000</f>
        <v>400000</v>
      </c>
      <c r="J246" s="36">
        <f>400000</f>
        <v>400000</v>
      </c>
      <c r="K246" s="36"/>
      <c r="L246" s="36"/>
      <c r="M246" s="36"/>
      <c r="N246" s="82">
        <f>0</f>
        <v>0</v>
      </c>
      <c r="O246" s="82"/>
    </row>
    <row r="247" spans="1:15" s="1" customFormat="1" ht="33.75" customHeight="1">
      <c r="A247" s="35" t="s">
        <v>314</v>
      </c>
      <c r="B247" s="35"/>
      <c r="C247" s="35"/>
      <c r="D247" s="35"/>
      <c r="E247" s="35"/>
      <c r="F247" s="35"/>
      <c r="G247" s="17" t="s">
        <v>168</v>
      </c>
      <c r="H247" s="17" t="s">
        <v>350</v>
      </c>
      <c r="I247" s="18">
        <f>314800</f>
        <v>314800</v>
      </c>
      <c r="J247" s="44" t="s">
        <v>51</v>
      </c>
      <c r="K247" s="44"/>
      <c r="L247" s="44"/>
      <c r="M247" s="44"/>
      <c r="N247" s="82">
        <f>314800</f>
        <v>314800</v>
      </c>
      <c r="O247" s="82"/>
    </row>
    <row r="248" spans="1:15" s="1" customFormat="1" ht="13.5" customHeight="1">
      <c r="A248" s="35" t="s">
        <v>342</v>
      </c>
      <c r="B248" s="35"/>
      <c r="C248" s="35"/>
      <c r="D248" s="35"/>
      <c r="E248" s="35"/>
      <c r="F248" s="35"/>
      <c r="G248" s="17" t="s">
        <v>168</v>
      </c>
      <c r="H248" s="17" t="s">
        <v>351</v>
      </c>
      <c r="I248" s="18">
        <f>50000</f>
        <v>50000</v>
      </c>
      <c r="J248" s="36">
        <f>50000</f>
        <v>50000</v>
      </c>
      <c r="K248" s="36"/>
      <c r="L248" s="36"/>
      <c r="M248" s="36"/>
      <c r="N248" s="82">
        <f>0</f>
        <v>0</v>
      </c>
      <c r="O248" s="82"/>
    </row>
    <row r="249" spans="1:15" s="1" customFormat="1" ht="33.75" customHeight="1">
      <c r="A249" s="35" t="s">
        <v>315</v>
      </c>
      <c r="B249" s="35"/>
      <c r="C249" s="35"/>
      <c r="D249" s="35"/>
      <c r="E249" s="35"/>
      <c r="F249" s="35"/>
      <c r="G249" s="17" t="s">
        <v>168</v>
      </c>
      <c r="H249" s="17" t="s">
        <v>352</v>
      </c>
      <c r="I249" s="18">
        <f>301000</f>
        <v>301000</v>
      </c>
      <c r="J249" s="36">
        <f>225748.01</f>
        <v>225748.01</v>
      </c>
      <c r="K249" s="36"/>
      <c r="L249" s="36"/>
      <c r="M249" s="36"/>
      <c r="N249" s="82">
        <f>75251.99</f>
        <v>75251.99</v>
      </c>
      <c r="O249" s="82"/>
    </row>
    <row r="250" spans="1:15" s="1" customFormat="1" ht="33.75" customHeight="1">
      <c r="A250" s="35" t="s">
        <v>314</v>
      </c>
      <c r="B250" s="35"/>
      <c r="C250" s="35"/>
      <c r="D250" s="35"/>
      <c r="E250" s="35"/>
      <c r="F250" s="35"/>
      <c r="G250" s="17" t="s">
        <v>168</v>
      </c>
      <c r="H250" s="17" t="s">
        <v>353</v>
      </c>
      <c r="I250" s="18">
        <f>8248906</f>
        <v>8248906</v>
      </c>
      <c r="J250" s="36">
        <f>6361372</f>
        <v>6361372</v>
      </c>
      <c r="K250" s="36"/>
      <c r="L250" s="36"/>
      <c r="M250" s="36"/>
      <c r="N250" s="82">
        <f>1887534</f>
        <v>1887534</v>
      </c>
      <c r="O250" s="82"/>
    </row>
    <row r="251" spans="1:15" s="1" customFormat="1" ht="13.5" customHeight="1">
      <c r="A251" s="35" t="s">
        <v>342</v>
      </c>
      <c r="B251" s="35"/>
      <c r="C251" s="35"/>
      <c r="D251" s="35"/>
      <c r="E251" s="35"/>
      <c r="F251" s="35"/>
      <c r="G251" s="17" t="s">
        <v>168</v>
      </c>
      <c r="H251" s="17" t="s">
        <v>354</v>
      </c>
      <c r="I251" s="18">
        <f>519814</f>
        <v>519814</v>
      </c>
      <c r="J251" s="36">
        <f>519814</f>
        <v>519814</v>
      </c>
      <c r="K251" s="36"/>
      <c r="L251" s="36"/>
      <c r="M251" s="36"/>
      <c r="N251" s="82">
        <f>0</f>
        <v>0</v>
      </c>
      <c r="O251" s="82"/>
    </row>
    <row r="252" spans="1:15" s="1" customFormat="1" ht="13.5" customHeight="1">
      <c r="A252" s="35" t="s">
        <v>342</v>
      </c>
      <c r="B252" s="35"/>
      <c r="C252" s="35"/>
      <c r="D252" s="35"/>
      <c r="E252" s="35"/>
      <c r="F252" s="35"/>
      <c r="G252" s="17" t="s">
        <v>168</v>
      </c>
      <c r="H252" s="17" t="s">
        <v>355</v>
      </c>
      <c r="I252" s="18">
        <f>5700</f>
        <v>5700</v>
      </c>
      <c r="J252" s="36">
        <f>4700</f>
        <v>4700</v>
      </c>
      <c r="K252" s="36"/>
      <c r="L252" s="36"/>
      <c r="M252" s="36"/>
      <c r="N252" s="82">
        <f>1000</f>
        <v>1000</v>
      </c>
      <c r="O252" s="82"/>
    </row>
    <row r="253" spans="1:15" s="1" customFormat="1" ht="13.5" customHeight="1">
      <c r="A253" s="35" t="s">
        <v>342</v>
      </c>
      <c r="B253" s="35"/>
      <c r="C253" s="35"/>
      <c r="D253" s="35"/>
      <c r="E253" s="35"/>
      <c r="F253" s="35"/>
      <c r="G253" s="17" t="s">
        <v>168</v>
      </c>
      <c r="H253" s="17" t="s">
        <v>356</v>
      </c>
      <c r="I253" s="18">
        <f>45000</f>
        <v>45000</v>
      </c>
      <c r="J253" s="36">
        <f>45000</f>
        <v>45000</v>
      </c>
      <c r="K253" s="36"/>
      <c r="L253" s="36"/>
      <c r="M253" s="36"/>
      <c r="N253" s="82">
        <f>0</f>
        <v>0</v>
      </c>
      <c r="O253" s="82"/>
    </row>
    <row r="254" spans="1:15" s="1" customFormat="1" ht="13.5" customHeight="1">
      <c r="A254" s="35" t="s">
        <v>342</v>
      </c>
      <c r="B254" s="35"/>
      <c r="C254" s="35"/>
      <c r="D254" s="35"/>
      <c r="E254" s="35"/>
      <c r="F254" s="35"/>
      <c r="G254" s="17" t="s">
        <v>168</v>
      </c>
      <c r="H254" s="17" t="s">
        <v>357</v>
      </c>
      <c r="I254" s="18">
        <f>113750</f>
        <v>113750</v>
      </c>
      <c r="J254" s="44" t="s">
        <v>51</v>
      </c>
      <c r="K254" s="44"/>
      <c r="L254" s="44"/>
      <c r="M254" s="44"/>
      <c r="N254" s="82">
        <f>113750</f>
        <v>113750</v>
      </c>
      <c r="O254" s="82"/>
    </row>
    <row r="255" spans="1:15" s="1" customFormat="1" ht="13.5" customHeight="1">
      <c r="A255" s="35" t="s">
        <v>342</v>
      </c>
      <c r="B255" s="35"/>
      <c r="C255" s="35"/>
      <c r="D255" s="35"/>
      <c r="E255" s="35"/>
      <c r="F255" s="35"/>
      <c r="G255" s="17" t="s">
        <v>168</v>
      </c>
      <c r="H255" s="17" t="s">
        <v>358</v>
      </c>
      <c r="I255" s="18">
        <f>200000</f>
        <v>200000</v>
      </c>
      <c r="J255" s="36">
        <f>100000</f>
        <v>100000</v>
      </c>
      <c r="K255" s="36"/>
      <c r="L255" s="36"/>
      <c r="M255" s="36"/>
      <c r="N255" s="82">
        <f>100000</f>
        <v>100000</v>
      </c>
      <c r="O255" s="82"/>
    </row>
    <row r="256" spans="1:15" s="1" customFormat="1" ht="33.75" customHeight="1">
      <c r="A256" s="35" t="s">
        <v>314</v>
      </c>
      <c r="B256" s="35"/>
      <c r="C256" s="35"/>
      <c r="D256" s="35"/>
      <c r="E256" s="35"/>
      <c r="F256" s="35"/>
      <c r="G256" s="17" t="s">
        <v>168</v>
      </c>
      <c r="H256" s="17" t="s">
        <v>359</v>
      </c>
      <c r="I256" s="18">
        <f>399239</f>
        <v>399239</v>
      </c>
      <c r="J256" s="36">
        <f>399239</f>
        <v>399239</v>
      </c>
      <c r="K256" s="36"/>
      <c r="L256" s="36"/>
      <c r="M256" s="36"/>
      <c r="N256" s="82">
        <f>0</f>
        <v>0</v>
      </c>
      <c r="O256" s="82"/>
    </row>
    <row r="257" spans="1:15" s="1" customFormat="1" ht="13.5" customHeight="1">
      <c r="A257" s="35" t="s">
        <v>342</v>
      </c>
      <c r="B257" s="35"/>
      <c r="C257" s="35"/>
      <c r="D257" s="35"/>
      <c r="E257" s="35"/>
      <c r="F257" s="35"/>
      <c r="G257" s="17" t="s">
        <v>168</v>
      </c>
      <c r="H257" s="17" t="s">
        <v>360</v>
      </c>
      <c r="I257" s="18">
        <f>100000</f>
        <v>100000</v>
      </c>
      <c r="J257" s="44" t="s">
        <v>51</v>
      </c>
      <c r="K257" s="44"/>
      <c r="L257" s="44"/>
      <c r="M257" s="44"/>
      <c r="N257" s="82">
        <f>100000</f>
        <v>100000</v>
      </c>
      <c r="O257" s="82"/>
    </row>
    <row r="258" spans="1:15" s="1" customFormat="1" ht="13.5" customHeight="1">
      <c r="A258" s="35" t="s">
        <v>342</v>
      </c>
      <c r="B258" s="35"/>
      <c r="C258" s="35"/>
      <c r="D258" s="35"/>
      <c r="E258" s="35"/>
      <c r="F258" s="35"/>
      <c r="G258" s="17" t="s">
        <v>168</v>
      </c>
      <c r="H258" s="17" t="s">
        <v>361</v>
      </c>
      <c r="I258" s="18">
        <f>26300</f>
        <v>26300</v>
      </c>
      <c r="J258" s="44" t="s">
        <v>51</v>
      </c>
      <c r="K258" s="44"/>
      <c r="L258" s="44"/>
      <c r="M258" s="44"/>
      <c r="N258" s="82">
        <f>26300</f>
        <v>26300</v>
      </c>
      <c r="O258" s="82"/>
    </row>
    <row r="259" spans="1:15" s="1" customFormat="1" ht="33.75" customHeight="1">
      <c r="A259" s="35" t="s">
        <v>314</v>
      </c>
      <c r="B259" s="35"/>
      <c r="C259" s="35"/>
      <c r="D259" s="35"/>
      <c r="E259" s="35"/>
      <c r="F259" s="35"/>
      <c r="G259" s="17" t="s">
        <v>168</v>
      </c>
      <c r="H259" s="17" t="s">
        <v>362</v>
      </c>
      <c r="I259" s="18">
        <f>7000</f>
        <v>7000</v>
      </c>
      <c r="J259" s="44" t="s">
        <v>51</v>
      </c>
      <c r="K259" s="44"/>
      <c r="L259" s="44"/>
      <c r="M259" s="44"/>
      <c r="N259" s="82">
        <f>7000</f>
        <v>7000</v>
      </c>
      <c r="O259" s="82"/>
    </row>
    <row r="260" spans="1:15" s="1" customFormat="1" ht="13.5" customHeight="1">
      <c r="A260" s="35" t="s">
        <v>169</v>
      </c>
      <c r="B260" s="35"/>
      <c r="C260" s="35"/>
      <c r="D260" s="35"/>
      <c r="E260" s="35"/>
      <c r="F260" s="35"/>
      <c r="G260" s="17" t="s">
        <v>168</v>
      </c>
      <c r="H260" s="17" t="s">
        <v>363</v>
      </c>
      <c r="I260" s="18">
        <f>644300</f>
        <v>644300</v>
      </c>
      <c r="J260" s="36">
        <f>511637.79</f>
        <v>511637.79</v>
      </c>
      <c r="K260" s="36"/>
      <c r="L260" s="36"/>
      <c r="M260" s="36"/>
      <c r="N260" s="82">
        <f>132662.21</f>
        <v>132662.21</v>
      </c>
      <c r="O260" s="82"/>
    </row>
    <row r="261" spans="1:15" s="1" customFormat="1" ht="33.75" customHeight="1">
      <c r="A261" s="35" t="s">
        <v>171</v>
      </c>
      <c r="B261" s="35"/>
      <c r="C261" s="35"/>
      <c r="D261" s="35"/>
      <c r="E261" s="35"/>
      <c r="F261" s="35"/>
      <c r="G261" s="17" t="s">
        <v>168</v>
      </c>
      <c r="H261" s="17" t="s">
        <v>364</v>
      </c>
      <c r="I261" s="18">
        <f>194600</f>
        <v>194600</v>
      </c>
      <c r="J261" s="36">
        <f>152248.64</f>
        <v>152248.64</v>
      </c>
      <c r="K261" s="36"/>
      <c r="L261" s="36"/>
      <c r="M261" s="36"/>
      <c r="N261" s="82">
        <f>42351.36</f>
        <v>42351.36</v>
      </c>
      <c r="O261" s="82"/>
    </row>
    <row r="262" spans="1:15" s="1" customFormat="1" ht="13.5" customHeight="1">
      <c r="A262" s="35" t="s">
        <v>169</v>
      </c>
      <c r="B262" s="35"/>
      <c r="C262" s="35"/>
      <c r="D262" s="35"/>
      <c r="E262" s="35"/>
      <c r="F262" s="35"/>
      <c r="G262" s="17" t="s">
        <v>168</v>
      </c>
      <c r="H262" s="17" t="s">
        <v>365</v>
      </c>
      <c r="I262" s="18">
        <f>2059604</f>
        <v>2059604</v>
      </c>
      <c r="J262" s="36">
        <f>1515669.61</f>
        <v>1515669.61</v>
      </c>
      <c r="K262" s="36"/>
      <c r="L262" s="36"/>
      <c r="M262" s="36"/>
      <c r="N262" s="82">
        <f>543934.39</f>
        <v>543934.39</v>
      </c>
      <c r="O262" s="82"/>
    </row>
    <row r="263" spans="1:15" s="1" customFormat="1" ht="24" customHeight="1">
      <c r="A263" s="35" t="s">
        <v>174</v>
      </c>
      <c r="B263" s="35"/>
      <c r="C263" s="35"/>
      <c r="D263" s="35"/>
      <c r="E263" s="35"/>
      <c r="F263" s="35"/>
      <c r="G263" s="17" t="s">
        <v>168</v>
      </c>
      <c r="H263" s="17" t="s">
        <v>366</v>
      </c>
      <c r="I263" s="18">
        <f>12650</f>
        <v>12650</v>
      </c>
      <c r="J263" s="36">
        <f>8500</f>
        <v>8500</v>
      </c>
      <c r="K263" s="36"/>
      <c r="L263" s="36"/>
      <c r="M263" s="36"/>
      <c r="N263" s="82">
        <f>4150</f>
        <v>4150</v>
      </c>
      <c r="O263" s="82"/>
    </row>
    <row r="264" spans="1:15" s="1" customFormat="1" ht="33.75" customHeight="1">
      <c r="A264" s="35" t="s">
        <v>171</v>
      </c>
      <c r="B264" s="35"/>
      <c r="C264" s="35"/>
      <c r="D264" s="35"/>
      <c r="E264" s="35"/>
      <c r="F264" s="35"/>
      <c r="G264" s="17" t="s">
        <v>168</v>
      </c>
      <c r="H264" s="17" t="s">
        <v>367</v>
      </c>
      <c r="I264" s="18">
        <f>621996</f>
        <v>621996</v>
      </c>
      <c r="J264" s="36">
        <f>462934.9</f>
        <v>462934.9</v>
      </c>
      <c r="K264" s="36"/>
      <c r="L264" s="36"/>
      <c r="M264" s="36"/>
      <c r="N264" s="82">
        <f>159061.1</f>
        <v>159061.1</v>
      </c>
      <c r="O264" s="82"/>
    </row>
    <row r="265" spans="1:15" s="1" customFormat="1" ht="24" customHeight="1">
      <c r="A265" s="35" t="s">
        <v>177</v>
      </c>
      <c r="B265" s="35"/>
      <c r="C265" s="35"/>
      <c r="D265" s="35"/>
      <c r="E265" s="35"/>
      <c r="F265" s="35"/>
      <c r="G265" s="17" t="s">
        <v>168</v>
      </c>
      <c r="H265" s="17" t="s">
        <v>368</v>
      </c>
      <c r="I265" s="18">
        <f>80100</f>
        <v>80100</v>
      </c>
      <c r="J265" s="36">
        <f>56085.42</f>
        <v>56085.42</v>
      </c>
      <c r="K265" s="36"/>
      <c r="L265" s="36"/>
      <c r="M265" s="36"/>
      <c r="N265" s="82">
        <f>24014.58</f>
        <v>24014.58</v>
      </c>
      <c r="O265" s="82"/>
    </row>
    <row r="266" spans="1:15" s="1" customFormat="1" ht="24" customHeight="1">
      <c r="A266" s="35" t="s">
        <v>179</v>
      </c>
      <c r="B266" s="35"/>
      <c r="C266" s="35"/>
      <c r="D266" s="35"/>
      <c r="E266" s="35"/>
      <c r="F266" s="35"/>
      <c r="G266" s="17" t="s">
        <v>168</v>
      </c>
      <c r="H266" s="17" t="s">
        <v>369</v>
      </c>
      <c r="I266" s="18">
        <f>882510</f>
        <v>882510</v>
      </c>
      <c r="J266" s="36">
        <f>603249.56</f>
        <v>603249.56</v>
      </c>
      <c r="K266" s="36"/>
      <c r="L266" s="36"/>
      <c r="M266" s="36"/>
      <c r="N266" s="82">
        <f>279260.44</f>
        <v>279260.44</v>
      </c>
      <c r="O266" s="82"/>
    </row>
    <row r="267" spans="1:15" s="1" customFormat="1" ht="13.5" customHeight="1">
      <c r="A267" s="35" t="s">
        <v>201</v>
      </c>
      <c r="B267" s="35"/>
      <c r="C267" s="35"/>
      <c r="D267" s="35"/>
      <c r="E267" s="35"/>
      <c r="F267" s="35"/>
      <c r="G267" s="17" t="s">
        <v>168</v>
      </c>
      <c r="H267" s="17" t="s">
        <v>370</v>
      </c>
      <c r="I267" s="18">
        <f>22413</f>
        <v>22413</v>
      </c>
      <c r="J267" s="36">
        <f>10784</f>
        <v>10784</v>
      </c>
      <c r="K267" s="36"/>
      <c r="L267" s="36"/>
      <c r="M267" s="36"/>
      <c r="N267" s="82">
        <f>11629</f>
        <v>11629</v>
      </c>
      <c r="O267" s="82"/>
    </row>
    <row r="268" spans="1:15" s="1" customFormat="1" ht="13.5" customHeight="1">
      <c r="A268" s="35" t="s">
        <v>203</v>
      </c>
      <c r="B268" s="35"/>
      <c r="C268" s="35"/>
      <c r="D268" s="35"/>
      <c r="E268" s="35"/>
      <c r="F268" s="35"/>
      <c r="G268" s="17" t="s">
        <v>168</v>
      </c>
      <c r="H268" s="17" t="s">
        <v>371</v>
      </c>
      <c r="I268" s="18">
        <f>12191.65</f>
        <v>12191.65</v>
      </c>
      <c r="J268" s="36">
        <f>5935.26</f>
        <v>5935.26</v>
      </c>
      <c r="K268" s="36"/>
      <c r="L268" s="36"/>
      <c r="M268" s="36"/>
      <c r="N268" s="82">
        <f>6256.39</f>
        <v>6256.39</v>
      </c>
      <c r="O268" s="82"/>
    </row>
    <row r="269" spans="1:15" s="1" customFormat="1" ht="13.5" customHeight="1">
      <c r="A269" s="35" t="s">
        <v>205</v>
      </c>
      <c r="B269" s="35"/>
      <c r="C269" s="35"/>
      <c r="D269" s="35"/>
      <c r="E269" s="35"/>
      <c r="F269" s="35"/>
      <c r="G269" s="17" t="s">
        <v>168</v>
      </c>
      <c r="H269" s="17" t="s">
        <v>372</v>
      </c>
      <c r="I269" s="18">
        <f>34.35</f>
        <v>34.35</v>
      </c>
      <c r="J269" s="36">
        <f>34.35</f>
        <v>34.35</v>
      </c>
      <c r="K269" s="36"/>
      <c r="L269" s="36"/>
      <c r="M269" s="36"/>
      <c r="N269" s="82">
        <f>0</f>
        <v>0</v>
      </c>
      <c r="O269" s="82"/>
    </row>
    <row r="270" spans="1:15" s="1" customFormat="1" ht="33.75" customHeight="1">
      <c r="A270" s="35" t="s">
        <v>314</v>
      </c>
      <c r="B270" s="35"/>
      <c r="C270" s="35"/>
      <c r="D270" s="35"/>
      <c r="E270" s="35"/>
      <c r="F270" s="35"/>
      <c r="G270" s="17" t="s">
        <v>168</v>
      </c>
      <c r="H270" s="17" t="s">
        <v>373</v>
      </c>
      <c r="I270" s="18">
        <f>27454089</f>
        <v>27454089</v>
      </c>
      <c r="J270" s="36">
        <f>18658820.38</f>
        <v>18658820.38</v>
      </c>
      <c r="K270" s="36"/>
      <c r="L270" s="36"/>
      <c r="M270" s="36"/>
      <c r="N270" s="82">
        <f>8795268.62</f>
        <v>8795268.62</v>
      </c>
      <c r="O270" s="82"/>
    </row>
    <row r="271" spans="1:15" s="1" customFormat="1" ht="13.5" customHeight="1">
      <c r="A271" s="35" t="s">
        <v>342</v>
      </c>
      <c r="B271" s="35"/>
      <c r="C271" s="35"/>
      <c r="D271" s="35"/>
      <c r="E271" s="35"/>
      <c r="F271" s="35"/>
      <c r="G271" s="17" t="s">
        <v>168</v>
      </c>
      <c r="H271" s="17" t="s">
        <v>374</v>
      </c>
      <c r="I271" s="18">
        <f>189992</f>
        <v>189992</v>
      </c>
      <c r="J271" s="36">
        <f>189992</f>
        <v>189992</v>
      </c>
      <c r="K271" s="36"/>
      <c r="L271" s="36"/>
      <c r="M271" s="36"/>
      <c r="N271" s="82">
        <f>0</f>
        <v>0</v>
      </c>
      <c r="O271" s="82"/>
    </row>
    <row r="272" spans="1:15" s="1" customFormat="1" ht="33.75" customHeight="1">
      <c r="A272" s="35" t="s">
        <v>314</v>
      </c>
      <c r="B272" s="35"/>
      <c r="C272" s="35"/>
      <c r="D272" s="35"/>
      <c r="E272" s="35"/>
      <c r="F272" s="35"/>
      <c r="G272" s="17" t="s">
        <v>168</v>
      </c>
      <c r="H272" s="17" t="s">
        <v>375</v>
      </c>
      <c r="I272" s="18">
        <f>42064700</f>
        <v>42064700</v>
      </c>
      <c r="J272" s="36">
        <f>27919145.36</f>
        <v>27919145.36</v>
      </c>
      <c r="K272" s="36"/>
      <c r="L272" s="36"/>
      <c r="M272" s="36"/>
      <c r="N272" s="82">
        <f>14145554.64</f>
        <v>14145554.64</v>
      </c>
      <c r="O272" s="82"/>
    </row>
    <row r="273" spans="1:15" s="1" customFormat="1" ht="33.75" customHeight="1">
      <c r="A273" s="35" t="s">
        <v>314</v>
      </c>
      <c r="B273" s="35"/>
      <c r="C273" s="35"/>
      <c r="D273" s="35"/>
      <c r="E273" s="35"/>
      <c r="F273" s="35"/>
      <c r="G273" s="17" t="s">
        <v>168</v>
      </c>
      <c r="H273" s="17" t="s">
        <v>376</v>
      </c>
      <c r="I273" s="18">
        <f>197300</f>
        <v>197300</v>
      </c>
      <c r="J273" s="36">
        <f>107877.84</f>
        <v>107877.84</v>
      </c>
      <c r="K273" s="36"/>
      <c r="L273" s="36"/>
      <c r="M273" s="36"/>
      <c r="N273" s="82">
        <f>89422.16</f>
        <v>89422.16</v>
      </c>
      <c r="O273" s="82"/>
    </row>
    <row r="274" spans="1:15" s="1" customFormat="1" ht="13.5" customHeight="1">
      <c r="A274" s="35" t="s">
        <v>342</v>
      </c>
      <c r="B274" s="35"/>
      <c r="C274" s="35"/>
      <c r="D274" s="35"/>
      <c r="E274" s="35"/>
      <c r="F274" s="35"/>
      <c r="G274" s="17" t="s">
        <v>168</v>
      </c>
      <c r="H274" s="17" t="s">
        <v>377</v>
      </c>
      <c r="I274" s="18">
        <f>30000</f>
        <v>30000</v>
      </c>
      <c r="J274" s="44" t="s">
        <v>51</v>
      </c>
      <c r="K274" s="44"/>
      <c r="L274" s="44"/>
      <c r="M274" s="44"/>
      <c r="N274" s="82">
        <f>30000</f>
        <v>30000</v>
      </c>
      <c r="O274" s="82"/>
    </row>
    <row r="275" spans="1:15" s="1" customFormat="1" ht="33.75" customHeight="1">
      <c r="A275" s="35" t="s">
        <v>314</v>
      </c>
      <c r="B275" s="35"/>
      <c r="C275" s="35"/>
      <c r="D275" s="35"/>
      <c r="E275" s="35"/>
      <c r="F275" s="35"/>
      <c r="G275" s="17" t="s">
        <v>168</v>
      </c>
      <c r="H275" s="17" t="s">
        <v>378</v>
      </c>
      <c r="I275" s="18">
        <f>325000</f>
        <v>325000</v>
      </c>
      <c r="J275" s="36">
        <f>325000</f>
        <v>325000</v>
      </c>
      <c r="K275" s="36"/>
      <c r="L275" s="36"/>
      <c r="M275" s="36"/>
      <c r="N275" s="82">
        <f>0</f>
        <v>0</v>
      </c>
      <c r="O275" s="82"/>
    </row>
    <row r="276" spans="1:15" s="1" customFormat="1" ht="33.75" customHeight="1">
      <c r="A276" s="35" t="s">
        <v>314</v>
      </c>
      <c r="B276" s="35"/>
      <c r="C276" s="35"/>
      <c r="D276" s="35"/>
      <c r="E276" s="35"/>
      <c r="F276" s="35"/>
      <c r="G276" s="17" t="s">
        <v>168</v>
      </c>
      <c r="H276" s="17" t="s">
        <v>379</v>
      </c>
      <c r="I276" s="18">
        <f>85318</f>
        <v>85318</v>
      </c>
      <c r="J276" s="36">
        <f>85318</f>
        <v>85318</v>
      </c>
      <c r="K276" s="36"/>
      <c r="L276" s="36"/>
      <c r="M276" s="36"/>
      <c r="N276" s="82">
        <f>0</f>
        <v>0</v>
      </c>
      <c r="O276" s="82"/>
    </row>
    <row r="277" spans="1:15" s="1" customFormat="1" ht="33.75" customHeight="1">
      <c r="A277" s="35" t="s">
        <v>314</v>
      </c>
      <c r="B277" s="35"/>
      <c r="C277" s="35"/>
      <c r="D277" s="35"/>
      <c r="E277" s="35"/>
      <c r="F277" s="35"/>
      <c r="G277" s="17" t="s">
        <v>168</v>
      </c>
      <c r="H277" s="17" t="s">
        <v>380</v>
      </c>
      <c r="I277" s="18">
        <f>4075003</f>
        <v>4075003</v>
      </c>
      <c r="J277" s="36">
        <f>2823007.55</f>
        <v>2823007.55</v>
      </c>
      <c r="K277" s="36"/>
      <c r="L277" s="36"/>
      <c r="M277" s="36"/>
      <c r="N277" s="82">
        <f>1251995.45</f>
        <v>1251995.45</v>
      </c>
      <c r="O277" s="82"/>
    </row>
    <row r="278" spans="1:15" s="1" customFormat="1" ht="13.5" customHeight="1">
      <c r="A278" s="35" t="s">
        <v>342</v>
      </c>
      <c r="B278" s="35"/>
      <c r="C278" s="35"/>
      <c r="D278" s="35"/>
      <c r="E278" s="35"/>
      <c r="F278" s="35"/>
      <c r="G278" s="17" t="s">
        <v>168</v>
      </c>
      <c r="H278" s="17" t="s">
        <v>381</v>
      </c>
      <c r="I278" s="18">
        <f>428124</f>
        <v>428124</v>
      </c>
      <c r="J278" s="36">
        <f>428124</f>
        <v>428124</v>
      </c>
      <c r="K278" s="36"/>
      <c r="L278" s="36"/>
      <c r="M278" s="36"/>
      <c r="N278" s="82">
        <f>0</f>
        <v>0</v>
      </c>
      <c r="O278" s="82"/>
    </row>
    <row r="279" spans="1:15" s="1" customFormat="1" ht="33.75" customHeight="1">
      <c r="A279" s="35" t="s">
        <v>314</v>
      </c>
      <c r="B279" s="35"/>
      <c r="C279" s="35"/>
      <c r="D279" s="35"/>
      <c r="E279" s="35"/>
      <c r="F279" s="35"/>
      <c r="G279" s="17" t="s">
        <v>168</v>
      </c>
      <c r="H279" s="17" t="s">
        <v>382</v>
      </c>
      <c r="I279" s="18">
        <f>68210457</f>
        <v>68210457</v>
      </c>
      <c r="J279" s="36">
        <f>45103977.59</f>
        <v>45103977.59</v>
      </c>
      <c r="K279" s="36"/>
      <c r="L279" s="36"/>
      <c r="M279" s="36"/>
      <c r="N279" s="82">
        <f>23106479.41</f>
        <v>23106479.41</v>
      </c>
      <c r="O279" s="82"/>
    </row>
    <row r="280" spans="1:15" s="1" customFormat="1" ht="13.5" customHeight="1">
      <c r="A280" s="35" t="s">
        <v>342</v>
      </c>
      <c r="B280" s="35"/>
      <c r="C280" s="35"/>
      <c r="D280" s="35"/>
      <c r="E280" s="35"/>
      <c r="F280" s="35"/>
      <c r="G280" s="17" t="s">
        <v>168</v>
      </c>
      <c r="H280" s="17" t="s">
        <v>383</v>
      </c>
      <c r="I280" s="18">
        <f>821556.75</f>
        <v>821556.75</v>
      </c>
      <c r="J280" s="36">
        <f>754106.75</f>
        <v>754106.75</v>
      </c>
      <c r="K280" s="36"/>
      <c r="L280" s="36"/>
      <c r="M280" s="36"/>
      <c r="N280" s="82">
        <f>67450</f>
        <v>67450</v>
      </c>
      <c r="O280" s="82"/>
    </row>
    <row r="281" spans="1:15" s="1" customFormat="1" ht="13.5" customHeight="1">
      <c r="A281" s="35" t="s">
        <v>342</v>
      </c>
      <c r="B281" s="35"/>
      <c r="C281" s="35"/>
      <c r="D281" s="35"/>
      <c r="E281" s="35"/>
      <c r="F281" s="35"/>
      <c r="G281" s="17" t="s">
        <v>168</v>
      </c>
      <c r="H281" s="17" t="s">
        <v>384</v>
      </c>
      <c r="I281" s="18">
        <f>3080000</f>
        <v>3080000</v>
      </c>
      <c r="J281" s="36">
        <f>3029900</f>
        <v>3029900</v>
      </c>
      <c r="K281" s="36"/>
      <c r="L281" s="36"/>
      <c r="M281" s="36"/>
      <c r="N281" s="82">
        <f>50100</f>
        <v>50100</v>
      </c>
      <c r="O281" s="82"/>
    </row>
    <row r="282" spans="1:15" s="1" customFormat="1" ht="13.5" customHeight="1">
      <c r="A282" s="35" t="s">
        <v>342</v>
      </c>
      <c r="B282" s="35"/>
      <c r="C282" s="35"/>
      <c r="D282" s="35"/>
      <c r="E282" s="35"/>
      <c r="F282" s="35"/>
      <c r="G282" s="17" t="s">
        <v>168</v>
      </c>
      <c r="H282" s="17" t="s">
        <v>385</v>
      </c>
      <c r="I282" s="18">
        <f>1404000</f>
        <v>1404000</v>
      </c>
      <c r="J282" s="36">
        <f>1053000</f>
        <v>1053000</v>
      </c>
      <c r="K282" s="36"/>
      <c r="L282" s="36"/>
      <c r="M282" s="36"/>
      <c r="N282" s="82">
        <f>351000</f>
        <v>351000</v>
      </c>
      <c r="O282" s="82"/>
    </row>
    <row r="283" spans="1:15" s="1" customFormat="1" ht="33.75" customHeight="1">
      <c r="A283" s="35" t="s">
        <v>314</v>
      </c>
      <c r="B283" s="35"/>
      <c r="C283" s="35"/>
      <c r="D283" s="35"/>
      <c r="E283" s="35"/>
      <c r="F283" s="35"/>
      <c r="G283" s="17" t="s">
        <v>168</v>
      </c>
      <c r="H283" s="17" t="s">
        <v>386</v>
      </c>
      <c r="I283" s="18">
        <f>136506900</f>
        <v>136506900</v>
      </c>
      <c r="J283" s="36">
        <f>93801269.12</f>
        <v>93801269.12</v>
      </c>
      <c r="K283" s="36"/>
      <c r="L283" s="36"/>
      <c r="M283" s="36"/>
      <c r="N283" s="82">
        <f>42705630.88</f>
        <v>42705630.88</v>
      </c>
      <c r="O283" s="82"/>
    </row>
    <row r="284" spans="1:15" s="1" customFormat="1" ht="33.75" customHeight="1">
      <c r="A284" s="35" t="s">
        <v>314</v>
      </c>
      <c r="B284" s="35"/>
      <c r="C284" s="35"/>
      <c r="D284" s="35"/>
      <c r="E284" s="35"/>
      <c r="F284" s="35"/>
      <c r="G284" s="17" t="s">
        <v>168</v>
      </c>
      <c r="H284" s="17" t="s">
        <v>387</v>
      </c>
      <c r="I284" s="18">
        <f>2572000</f>
        <v>2572000</v>
      </c>
      <c r="J284" s="36">
        <f>1644545.65</f>
        <v>1644545.65</v>
      </c>
      <c r="K284" s="36"/>
      <c r="L284" s="36"/>
      <c r="M284" s="36"/>
      <c r="N284" s="82">
        <f>927454.35</f>
        <v>927454.35</v>
      </c>
      <c r="O284" s="82"/>
    </row>
    <row r="285" spans="1:15" s="1" customFormat="1" ht="33.75" customHeight="1">
      <c r="A285" s="35" t="s">
        <v>314</v>
      </c>
      <c r="B285" s="35"/>
      <c r="C285" s="35"/>
      <c r="D285" s="35"/>
      <c r="E285" s="35"/>
      <c r="F285" s="35"/>
      <c r="G285" s="17" t="s">
        <v>168</v>
      </c>
      <c r="H285" s="17" t="s">
        <v>388</v>
      </c>
      <c r="I285" s="18">
        <f>1884700</f>
        <v>1884700</v>
      </c>
      <c r="J285" s="36">
        <f>795620.42</f>
        <v>795620.42</v>
      </c>
      <c r="K285" s="36"/>
      <c r="L285" s="36"/>
      <c r="M285" s="36"/>
      <c r="N285" s="82">
        <f>1089079.58</f>
        <v>1089079.58</v>
      </c>
      <c r="O285" s="82"/>
    </row>
    <row r="286" spans="1:15" s="1" customFormat="1" ht="33.75" customHeight="1">
      <c r="A286" s="35" t="s">
        <v>314</v>
      </c>
      <c r="B286" s="35"/>
      <c r="C286" s="35"/>
      <c r="D286" s="35"/>
      <c r="E286" s="35"/>
      <c r="F286" s="35"/>
      <c r="G286" s="17" t="s">
        <v>168</v>
      </c>
      <c r="H286" s="17" t="s">
        <v>389</v>
      </c>
      <c r="I286" s="18">
        <f>470000</f>
        <v>470000</v>
      </c>
      <c r="J286" s="36">
        <f>307149.57</f>
        <v>307149.57</v>
      </c>
      <c r="K286" s="36"/>
      <c r="L286" s="36"/>
      <c r="M286" s="36"/>
      <c r="N286" s="82">
        <f>162850.43</f>
        <v>162850.43</v>
      </c>
      <c r="O286" s="82"/>
    </row>
    <row r="287" spans="1:15" s="1" customFormat="1" ht="33.75" customHeight="1">
      <c r="A287" s="35" t="s">
        <v>314</v>
      </c>
      <c r="B287" s="35"/>
      <c r="C287" s="35"/>
      <c r="D287" s="35"/>
      <c r="E287" s="35"/>
      <c r="F287" s="35"/>
      <c r="G287" s="17" t="s">
        <v>168</v>
      </c>
      <c r="H287" s="17" t="s">
        <v>390</v>
      </c>
      <c r="I287" s="18">
        <f>231000</f>
        <v>231000</v>
      </c>
      <c r="J287" s="36">
        <f>76820</f>
        <v>76820</v>
      </c>
      <c r="K287" s="36"/>
      <c r="L287" s="36"/>
      <c r="M287" s="36"/>
      <c r="N287" s="82">
        <f>154180</f>
        <v>154180</v>
      </c>
      <c r="O287" s="82"/>
    </row>
    <row r="288" spans="1:15" s="1" customFormat="1" ht="33.75" customHeight="1">
      <c r="A288" s="35" t="s">
        <v>314</v>
      </c>
      <c r="B288" s="35"/>
      <c r="C288" s="35"/>
      <c r="D288" s="35"/>
      <c r="E288" s="35"/>
      <c r="F288" s="35"/>
      <c r="G288" s="17" t="s">
        <v>168</v>
      </c>
      <c r="H288" s="17" t="s">
        <v>391</v>
      </c>
      <c r="I288" s="18">
        <f>59402</f>
        <v>59402</v>
      </c>
      <c r="J288" s="44" t="s">
        <v>51</v>
      </c>
      <c r="K288" s="44"/>
      <c r="L288" s="44"/>
      <c r="M288" s="44"/>
      <c r="N288" s="82">
        <f>59402</f>
        <v>59402</v>
      </c>
      <c r="O288" s="82"/>
    </row>
    <row r="289" spans="1:15" s="1" customFormat="1" ht="33.75" customHeight="1">
      <c r="A289" s="35" t="s">
        <v>314</v>
      </c>
      <c r="B289" s="35"/>
      <c r="C289" s="35"/>
      <c r="D289" s="35"/>
      <c r="E289" s="35"/>
      <c r="F289" s="35"/>
      <c r="G289" s="17" t="s">
        <v>168</v>
      </c>
      <c r="H289" s="17" t="s">
        <v>392</v>
      </c>
      <c r="I289" s="18">
        <f>734696</f>
        <v>734696</v>
      </c>
      <c r="J289" s="36">
        <f>734696</f>
        <v>734696</v>
      </c>
      <c r="K289" s="36"/>
      <c r="L289" s="36"/>
      <c r="M289" s="36"/>
      <c r="N289" s="82">
        <f>0</f>
        <v>0</v>
      </c>
      <c r="O289" s="82"/>
    </row>
    <row r="290" spans="1:15" s="1" customFormat="1" ht="13.5" customHeight="1">
      <c r="A290" s="35" t="s">
        <v>342</v>
      </c>
      <c r="B290" s="35"/>
      <c r="C290" s="35"/>
      <c r="D290" s="35"/>
      <c r="E290" s="35"/>
      <c r="F290" s="35"/>
      <c r="G290" s="17" t="s">
        <v>168</v>
      </c>
      <c r="H290" s="17" t="s">
        <v>393</v>
      </c>
      <c r="I290" s="18">
        <f>422070.24</f>
        <v>422070.24</v>
      </c>
      <c r="J290" s="36">
        <f>272070.24</f>
        <v>272070.24</v>
      </c>
      <c r="K290" s="36"/>
      <c r="L290" s="36"/>
      <c r="M290" s="36"/>
      <c r="N290" s="82">
        <f>150000</f>
        <v>150000</v>
      </c>
      <c r="O290" s="82"/>
    </row>
    <row r="291" spans="1:15" s="1" customFormat="1" ht="33.75" customHeight="1">
      <c r="A291" s="35" t="s">
        <v>314</v>
      </c>
      <c r="B291" s="35"/>
      <c r="C291" s="35"/>
      <c r="D291" s="35"/>
      <c r="E291" s="35"/>
      <c r="F291" s="35"/>
      <c r="G291" s="17" t="s">
        <v>168</v>
      </c>
      <c r="H291" s="17" t="s">
        <v>394</v>
      </c>
      <c r="I291" s="18">
        <f>3426163</f>
        <v>3426163</v>
      </c>
      <c r="J291" s="36">
        <f>2139917.92</f>
        <v>2139917.92</v>
      </c>
      <c r="K291" s="36"/>
      <c r="L291" s="36"/>
      <c r="M291" s="36"/>
      <c r="N291" s="82">
        <f>1286245.08</f>
        <v>1286245.08</v>
      </c>
      <c r="O291" s="82"/>
    </row>
    <row r="292" spans="1:15" s="1" customFormat="1" ht="13.5" customHeight="1">
      <c r="A292" s="35" t="s">
        <v>342</v>
      </c>
      <c r="B292" s="35"/>
      <c r="C292" s="35"/>
      <c r="D292" s="35"/>
      <c r="E292" s="35"/>
      <c r="F292" s="35"/>
      <c r="G292" s="17" t="s">
        <v>168</v>
      </c>
      <c r="H292" s="17" t="s">
        <v>395</v>
      </c>
      <c r="I292" s="18">
        <f>59252</f>
        <v>59252</v>
      </c>
      <c r="J292" s="36">
        <f>43440</f>
        <v>43440</v>
      </c>
      <c r="K292" s="36"/>
      <c r="L292" s="36"/>
      <c r="M292" s="36"/>
      <c r="N292" s="82">
        <f>15812</f>
        <v>15812</v>
      </c>
      <c r="O292" s="82"/>
    </row>
    <row r="293" spans="1:15" s="1" customFormat="1" ht="33.75" customHeight="1">
      <c r="A293" s="35" t="s">
        <v>314</v>
      </c>
      <c r="B293" s="35"/>
      <c r="C293" s="35"/>
      <c r="D293" s="35"/>
      <c r="E293" s="35"/>
      <c r="F293" s="35"/>
      <c r="G293" s="17" t="s">
        <v>168</v>
      </c>
      <c r="H293" s="17" t="s">
        <v>396</v>
      </c>
      <c r="I293" s="18">
        <f>968944</f>
        <v>968944</v>
      </c>
      <c r="J293" s="36">
        <f>600223</f>
        <v>600223</v>
      </c>
      <c r="K293" s="36"/>
      <c r="L293" s="36"/>
      <c r="M293" s="36"/>
      <c r="N293" s="82">
        <f>368721</f>
        <v>368721</v>
      </c>
      <c r="O293" s="82"/>
    </row>
    <row r="294" spans="1:15" s="1" customFormat="1" ht="33.75" customHeight="1">
      <c r="A294" s="35" t="s">
        <v>314</v>
      </c>
      <c r="B294" s="35"/>
      <c r="C294" s="35"/>
      <c r="D294" s="35"/>
      <c r="E294" s="35"/>
      <c r="F294" s="35"/>
      <c r="G294" s="17" t="s">
        <v>168</v>
      </c>
      <c r="H294" s="17" t="s">
        <v>397</v>
      </c>
      <c r="I294" s="18">
        <f>397261</f>
        <v>397261</v>
      </c>
      <c r="J294" s="36">
        <f>394261</f>
        <v>394261</v>
      </c>
      <c r="K294" s="36"/>
      <c r="L294" s="36"/>
      <c r="M294" s="36"/>
      <c r="N294" s="82">
        <f>3000</f>
        <v>3000</v>
      </c>
      <c r="O294" s="82"/>
    </row>
    <row r="295" spans="1:15" s="1" customFormat="1" ht="13.5" customHeight="1">
      <c r="A295" s="35" t="s">
        <v>342</v>
      </c>
      <c r="B295" s="35"/>
      <c r="C295" s="35"/>
      <c r="D295" s="35"/>
      <c r="E295" s="35"/>
      <c r="F295" s="35"/>
      <c r="G295" s="17" t="s">
        <v>168</v>
      </c>
      <c r="H295" s="17" t="s">
        <v>398</v>
      </c>
      <c r="I295" s="18">
        <f>115000</f>
        <v>115000</v>
      </c>
      <c r="J295" s="36">
        <f>115000</f>
        <v>115000</v>
      </c>
      <c r="K295" s="36"/>
      <c r="L295" s="36"/>
      <c r="M295" s="36"/>
      <c r="N295" s="82">
        <f>0</f>
        <v>0</v>
      </c>
      <c r="O295" s="82"/>
    </row>
    <row r="296" spans="1:15" s="1" customFormat="1" ht="33.75" customHeight="1">
      <c r="A296" s="35" t="s">
        <v>314</v>
      </c>
      <c r="B296" s="35"/>
      <c r="C296" s="35"/>
      <c r="D296" s="35"/>
      <c r="E296" s="35"/>
      <c r="F296" s="35"/>
      <c r="G296" s="17" t="s">
        <v>168</v>
      </c>
      <c r="H296" s="17" t="s">
        <v>399</v>
      </c>
      <c r="I296" s="18">
        <f>25000</f>
        <v>25000</v>
      </c>
      <c r="J296" s="44" t="s">
        <v>51</v>
      </c>
      <c r="K296" s="44"/>
      <c r="L296" s="44"/>
      <c r="M296" s="44"/>
      <c r="N296" s="82">
        <f>25000</f>
        <v>25000</v>
      </c>
      <c r="O296" s="82"/>
    </row>
    <row r="297" spans="1:15" s="1" customFormat="1" ht="33.75" customHeight="1">
      <c r="A297" s="35" t="s">
        <v>314</v>
      </c>
      <c r="B297" s="35"/>
      <c r="C297" s="35"/>
      <c r="D297" s="35"/>
      <c r="E297" s="35"/>
      <c r="F297" s="35"/>
      <c r="G297" s="17" t="s">
        <v>168</v>
      </c>
      <c r="H297" s="17" t="s">
        <v>400</v>
      </c>
      <c r="I297" s="18">
        <f>160000</f>
        <v>160000</v>
      </c>
      <c r="J297" s="36">
        <f>160000</f>
        <v>160000</v>
      </c>
      <c r="K297" s="36"/>
      <c r="L297" s="36"/>
      <c r="M297" s="36"/>
      <c r="N297" s="82">
        <f>0</f>
        <v>0</v>
      </c>
      <c r="O297" s="82"/>
    </row>
    <row r="298" spans="1:15" s="1" customFormat="1" ht="33.75" customHeight="1">
      <c r="A298" s="35" t="s">
        <v>314</v>
      </c>
      <c r="B298" s="35"/>
      <c r="C298" s="35"/>
      <c r="D298" s="35"/>
      <c r="E298" s="35"/>
      <c r="F298" s="35"/>
      <c r="G298" s="17" t="s">
        <v>168</v>
      </c>
      <c r="H298" s="17" t="s">
        <v>401</v>
      </c>
      <c r="I298" s="18">
        <f>420000</f>
        <v>420000</v>
      </c>
      <c r="J298" s="36">
        <f>419252</f>
        <v>419252</v>
      </c>
      <c r="K298" s="36"/>
      <c r="L298" s="36"/>
      <c r="M298" s="36"/>
      <c r="N298" s="82">
        <f>748</f>
        <v>748</v>
      </c>
      <c r="O298" s="82"/>
    </row>
    <row r="299" spans="1:15" s="1" customFormat="1" ht="13.5" customHeight="1">
      <c r="A299" s="35" t="s">
        <v>169</v>
      </c>
      <c r="B299" s="35"/>
      <c r="C299" s="35"/>
      <c r="D299" s="35"/>
      <c r="E299" s="35"/>
      <c r="F299" s="35"/>
      <c r="G299" s="17" t="s">
        <v>168</v>
      </c>
      <c r="H299" s="17" t="s">
        <v>402</v>
      </c>
      <c r="I299" s="18">
        <f>414766.36</f>
        <v>414766.36</v>
      </c>
      <c r="J299" s="36">
        <f>335163.88</f>
        <v>335163.88</v>
      </c>
      <c r="K299" s="36"/>
      <c r="L299" s="36"/>
      <c r="M299" s="36"/>
      <c r="N299" s="82">
        <f>79602.48</f>
        <v>79602.48</v>
      </c>
      <c r="O299" s="82"/>
    </row>
    <row r="300" spans="1:15" s="1" customFormat="1" ht="24" customHeight="1">
      <c r="A300" s="35" t="s">
        <v>174</v>
      </c>
      <c r="B300" s="35"/>
      <c r="C300" s="35"/>
      <c r="D300" s="35"/>
      <c r="E300" s="35"/>
      <c r="F300" s="35"/>
      <c r="G300" s="17" t="s">
        <v>168</v>
      </c>
      <c r="H300" s="17" t="s">
        <v>403</v>
      </c>
      <c r="I300" s="18">
        <f>24433.64</f>
        <v>24433.64</v>
      </c>
      <c r="J300" s="36">
        <f>24433.64</f>
        <v>24433.64</v>
      </c>
      <c r="K300" s="36"/>
      <c r="L300" s="36"/>
      <c r="M300" s="36"/>
      <c r="N300" s="82">
        <f>0</f>
        <v>0</v>
      </c>
      <c r="O300" s="82"/>
    </row>
    <row r="301" spans="1:15" s="1" customFormat="1" ht="33.75" customHeight="1">
      <c r="A301" s="35" t="s">
        <v>171</v>
      </c>
      <c r="B301" s="35"/>
      <c r="C301" s="35"/>
      <c r="D301" s="35"/>
      <c r="E301" s="35"/>
      <c r="F301" s="35"/>
      <c r="G301" s="17" t="s">
        <v>168</v>
      </c>
      <c r="H301" s="17" t="s">
        <v>404</v>
      </c>
      <c r="I301" s="18">
        <f>132600</f>
        <v>132600</v>
      </c>
      <c r="J301" s="36">
        <f>98852.19</f>
        <v>98852.19</v>
      </c>
      <c r="K301" s="36"/>
      <c r="L301" s="36"/>
      <c r="M301" s="36"/>
      <c r="N301" s="82">
        <f>33747.81</f>
        <v>33747.81</v>
      </c>
      <c r="O301" s="82"/>
    </row>
    <row r="302" spans="1:15" s="1" customFormat="1" ht="24" customHeight="1">
      <c r="A302" s="35" t="s">
        <v>179</v>
      </c>
      <c r="B302" s="35"/>
      <c r="C302" s="35"/>
      <c r="D302" s="35"/>
      <c r="E302" s="35"/>
      <c r="F302" s="35"/>
      <c r="G302" s="17" t="s">
        <v>168</v>
      </c>
      <c r="H302" s="17" t="s">
        <v>405</v>
      </c>
      <c r="I302" s="18">
        <f>30598</f>
        <v>30598</v>
      </c>
      <c r="J302" s="36">
        <f>30598</f>
        <v>30598</v>
      </c>
      <c r="K302" s="36"/>
      <c r="L302" s="36"/>
      <c r="M302" s="36"/>
      <c r="N302" s="82">
        <f>0</f>
        <v>0</v>
      </c>
      <c r="O302" s="82"/>
    </row>
    <row r="303" spans="1:15" s="1" customFormat="1" ht="24" customHeight="1">
      <c r="A303" s="35" t="s">
        <v>406</v>
      </c>
      <c r="B303" s="35"/>
      <c r="C303" s="35"/>
      <c r="D303" s="35"/>
      <c r="E303" s="35"/>
      <c r="F303" s="35"/>
      <c r="G303" s="17" t="s">
        <v>168</v>
      </c>
      <c r="H303" s="17" t="s">
        <v>407</v>
      </c>
      <c r="I303" s="18">
        <f>210899.2</f>
        <v>210899.2</v>
      </c>
      <c r="J303" s="36">
        <f>210899.2</f>
        <v>210899.2</v>
      </c>
      <c r="K303" s="36"/>
      <c r="L303" s="36"/>
      <c r="M303" s="36"/>
      <c r="N303" s="82">
        <f>0</f>
        <v>0</v>
      </c>
      <c r="O303" s="82"/>
    </row>
    <row r="304" spans="1:15" s="1" customFormat="1" ht="13.5" customHeight="1">
      <c r="A304" s="35" t="s">
        <v>342</v>
      </c>
      <c r="B304" s="35"/>
      <c r="C304" s="35"/>
      <c r="D304" s="35"/>
      <c r="E304" s="35"/>
      <c r="F304" s="35"/>
      <c r="G304" s="17" t="s">
        <v>168</v>
      </c>
      <c r="H304" s="17" t="s">
        <v>408</v>
      </c>
      <c r="I304" s="18">
        <f>1087100.8</f>
        <v>1087100.8</v>
      </c>
      <c r="J304" s="36">
        <f>1058000</f>
        <v>1058000</v>
      </c>
      <c r="K304" s="36"/>
      <c r="L304" s="36"/>
      <c r="M304" s="36"/>
      <c r="N304" s="82">
        <f>29100.8</f>
        <v>29100.8</v>
      </c>
      <c r="O304" s="82"/>
    </row>
    <row r="305" spans="1:15" s="1" customFormat="1" ht="24" customHeight="1">
      <c r="A305" s="35" t="s">
        <v>296</v>
      </c>
      <c r="B305" s="35"/>
      <c r="C305" s="35"/>
      <c r="D305" s="35"/>
      <c r="E305" s="35"/>
      <c r="F305" s="35"/>
      <c r="G305" s="17" t="s">
        <v>168</v>
      </c>
      <c r="H305" s="17" t="s">
        <v>409</v>
      </c>
      <c r="I305" s="18">
        <f>301009.86</f>
        <v>301009.86</v>
      </c>
      <c r="J305" s="36">
        <f>274640</f>
        <v>274640</v>
      </c>
      <c r="K305" s="36"/>
      <c r="L305" s="36"/>
      <c r="M305" s="36"/>
      <c r="N305" s="82">
        <f>26369.86</f>
        <v>26369.86</v>
      </c>
      <c r="O305" s="82"/>
    </row>
    <row r="306" spans="1:15" s="1" customFormat="1" ht="24" customHeight="1">
      <c r="A306" s="35" t="s">
        <v>179</v>
      </c>
      <c r="B306" s="35"/>
      <c r="C306" s="35"/>
      <c r="D306" s="35"/>
      <c r="E306" s="35"/>
      <c r="F306" s="35"/>
      <c r="G306" s="17" t="s">
        <v>168</v>
      </c>
      <c r="H306" s="17" t="s">
        <v>410</v>
      </c>
      <c r="I306" s="18">
        <f>81000</f>
        <v>81000</v>
      </c>
      <c r="J306" s="36">
        <f>4000</f>
        <v>4000</v>
      </c>
      <c r="K306" s="36"/>
      <c r="L306" s="36"/>
      <c r="M306" s="36"/>
      <c r="N306" s="82">
        <f>77000</f>
        <v>77000</v>
      </c>
      <c r="O306" s="82"/>
    </row>
    <row r="307" spans="1:15" s="1" customFormat="1" ht="24" customHeight="1">
      <c r="A307" s="35" t="s">
        <v>296</v>
      </c>
      <c r="B307" s="35"/>
      <c r="C307" s="35"/>
      <c r="D307" s="35"/>
      <c r="E307" s="35"/>
      <c r="F307" s="35"/>
      <c r="G307" s="17" t="s">
        <v>168</v>
      </c>
      <c r="H307" s="17" t="s">
        <v>411</v>
      </c>
      <c r="I307" s="18">
        <f>99032.02</f>
        <v>99032.02</v>
      </c>
      <c r="J307" s="36">
        <f>93036</f>
        <v>93036</v>
      </c>
      <c r="K307" s="36"/>
      <c r="L307" s="36"/>
      <c r="M307" s="36"/>
      <c r="N307" s="82">
        <f>5996.02</f>
        <v>5996.02</v>
      </c>
      <c r="O307" s="82"/>
    </row>
    <row r="308" spans="1:15" s="1" customFormat="1" ht="24" customHeight="1">
      <c r="A308" s="35" t="s">
        <v>179</v>
      </c>
      <c r="B308" s="35"/>
      <c r="C308" s="35"/>
      <c r="D308" s="35"/>
      <c r="E308" s="35"/>
      <c r="F308" s="35"/>
      <c r="G308" s="17" t="s">
        <v>168</v>
      </c>
      <c r="H308" s="17" t="s">
        <v>412</v>
      </c>
      <c r="I308" s="18">
        <f>2000</f>
        <v>2000</v>
      </c>
      <c r="J308" s="36">
        <f>2000</f>
        <v>2000</v>
      </c>
      <c r="K308" s="36"/>
      <c r="L308" s="36"/>
      <c r="M308" s="36"/>
      <c r="N308" s="82">
        <f>0</f>
        <v>0</v>
      </c>
      <c r="O308" s="82"/>
    </row>
    <row r="309" spans="1:15" s="1" customFormat="1" ht="13.5" customHeight="1">
      <c r="A309" s="35" t="s">
        <v>169</v>
      </c>
      <c r="B309" s="35"/>
      <c r="C309" s="35"/>
      <c r="D309" s="35"/>
      <c r="E309" s="35"/>
      <c r="F309" s="35"/>
      <c r="G309" s="17" t="s">
        <v>168</v>
      </c>
      <c r="H309" s="17" t="s">
        <v>413</v>
      </c>
      <c r="I309" s="18">
        <f>1068090</f>
        <v>1068090</v>
      </c>
      <c r="J309" s="36">
        <f>726557.3</f>
        <v>726557.3</v>
      </c>
      <c r="K309" s="36"/>
      <c r="L309" s="36"/>
      <c r="M309" s="36"/>
      <c r="N309" s="82">
        <f>341532.7</f>
        <v>341532.7</v>
      </c>
      <c r="O309" s="82"/>
    </row>
    <row r="310" spans="1:15" s="1" customFormat="1" ht="33.75" customHeight="1">
      <c r="A310" s="35" t="s">
        <v>171</v>
      </c>
      <c r="B310" s="35"/>
      <c r="C310" s="35"/>
      <c r="D310" s="35"/>
      <c r="E310" s="35"/>
      <c r="F310" s="35"/>
      <c r="G310" s="17" t="s">
        <v>168</v>
      </c>
      <c r="H310" s="17" t="s">
        <v>414</v>
      </c>
      <c r="I310" s="18">
        <f>322545</f>
        <v>322545</v>
      </c>
      <c r="J310" s="36">
        <f>175006.34</f>
        <v>175006.34</v>
      </c>
      <c r="K310" s="36"/>
      <c r="L310" s="36"/>
      <c r="M310" s="36"/>
      <c r="N310" s="82">
        <f>147538.66</f>
        <v>147538.66</v>
      </c>
      <c r="O310" s="82"/>
    </row>
    <row r="311" spans="1:15" s="1" customFormat="1" ht="13.5" customHeight="1">
      <c r="A311" s="35" t="s">
        <v>169</v>
      </c>
      <c r="B311" s="35"/>
      <c r="C311" s="35"/>
      <c r="D311" s="35"/>
      <c r="E311" s="35"/>
      <c r="F311" s="35"/>
      <c r="G311" s="17" t="s">
        <v>168</v>
      </c>
      <c r="H311" s="17" t="s">
        <v>415</v>
      </c>
      <c r="I311" s="18">
        <f>487600</f>
        <v>487600</v>
      </c>
      <c r="J311" s="36">
        <f>367382.67</f>
        <v>367382.67</v>
      </c>
      <c r="K311" s="36"/>
      <c r="L311" s="36"/>
      <c r="M311" s="36"/>
      <c r="N311" s="82">
        <f>120217.33</f>
        <v>120217.33</v>
      </c>
      <c r="O311" s="82"/>
    </row>
    <row r="312" spans="1:15" s="1" customFormat="1" ht="33.75" customHeight="1">
      <c r="A312" s="35" t="s">
        <v>171</v>
      </c>
      <c r="B312" s="35"/>
      <c r="C312" s="35"/>
      <c r="D312" s="35"/>
      <c r="E312" s="35"/>
      <c r="F312" s="35"/>
      <c r="G312" s="17" t="s">
        <v>168</v>
      </c>
      <c r="H312" s="17" t="s">
        <v>416</v>
      </c>
      <c r="I312" s="18">
        <f>147284</f>
        <v>147284</v>
      </c>
      <c r="J312" s="36">
        <f>98607.18</f>
        <v>98607.18</v>
      </c>
      <c r="K312" s="36"/>
      <c r="L312" s="36"/>
      <c r="M312" s="36"/>
      <c r="N312" s="82">
        <f>48676.82</f>
        <v>48676.82</v>
      </c>
      <c r="O312" s="82"/>
    </row>
    <row r="313" spans="1:15" s="1" customFormat="1" ht="13.5" customHeight="1">
      <c r="A313" s="35" t="s">
        <v>169</v>
      </c>
      <c r="B313" s="35"/>
      <c r="C313" s="35"/>
      <c r="D313" s="35"/>
      <c r="E313" s="35"/>
      <c r="F313" s="35"/>
      <c r="G313" s="17" t="s">
        <v>168</v>
      </c>
      <c r="H313" s="17" t="s">
        <v>417</v>
      </c>
      <c r="I313" s="18">
        <f>8014761.04</f>
        <v>8014761.04</v>
      </c>
      <c r="J313" s="36">
        <f>5566088.26</f>
        <v>5566088.26</v>
      </c>
      <c r="K313" s="36"/>
      <c r="L313" s="36"/>
      <c r="M313" s="36"/>
      <c r="N313" s="82">
        <f>2448672.78</f>
        <v>2448672.78</v>
      </c>
      <c r="O313" s="82"/>
    </row>
    <row r="314" spans="1:15" s="1" customFormat="1" ht="24" customHeight="1">
      <c r="A314" s="35" t="s">
        <v>174</v>
      </c>
      <c r="B314" s="35"/>
      <c r="C314" s="35"/>
      <c r="D314" s="35"/>
      <c r="E314" s="35"/>
      <c r="F314" s="35"/>
      <c r="G314" s="17" t="s">
        <v>168</v>
      </c>
      <c r="H314" s="17" t="s">
        <v>418</v>
      </c>
      <c r="I314" s="18">
        <f>473221.64</f>
        <v>473221.64</v>
      </c>
      <c r="J314" s="36">
        <f>151046.66</f>
        <v>151046.66</v>
      </c>
      <c r="K314" s="36"/>
      <c r="L314" s="36"/>
      <c r="M314" s="36"/>
      <c r="N314" s="82">
        <f>322174.98</f>
        <v>322174.98</v>
      </c>
      <c r="O314" s="82"/>
    </row>
    <row r="315" spans="1:15" s="1" customFormat="1" ht="33.75" customHeight="1">
      <c r="A315" s="35" t="s">
        <v>171</v>
      </c>
      <c r="B315" s="35"/>
      <c r="C315" s="35"/>
      <c r="D315" s="35"/>
      <c r="E315" s="35"/>
      <c r="F315" s="35"/>
      <c r="G315" s="17" t="s">
        <v>168</v>
      </c>
      <c r="H315" s="17" t="s">
        <v>419</v>
      </c>
      <c r="I315" s="18">
        <f>2434624.6</f>
        <v>2434624.6</v>
      </c>
      <c r="J315" s="36">
        <f>1686842.5</f>
        <v>1686842.5</v>
      </c>
      <c r="K315" s="36"/>
      <c r="L315" s="36"/>
      <c r="M315" s="36"/>
      <c r="N315" s="82">
        <f>747782.1</f>
        <v>747782.1</v>
      </c>
      <c r="O315" s="82"/>
    </row>
    <row r="316" spans="1:15" s="1" customFormat="1" ht="24" customHeight="1">
      <c r="A316" s="35" t="s">
        <v>177</v>
      </c>
      <c r="B316" s="35"/>
      <c r="C316" s="35"/>
      <c r="D316" s="35"/>
      <c r="E316" s="35"/>
      <c r="F316" s="35"/>
      <c r="G316" s="17" t="s">
        <v>168</v>
      </c>
      <c r="H316" s="17" t="s">
        <v>420</v>
      </c>
      <c r="I316" s="18">
        <f>680052</f>
        <v>680052</v>
      </c>
      <c r="J316" s="36">
        <f>425454.19</f>
        <v>425454.19</v>
      </c>
      <c r="K316" s="36"/>
      <c r="L316" s="36"/>
      <c r="M316" s="36"/>
      <c r="N316" s="82">
        <f>254597.81</f>
        <v>254597.81</v>
      </c>
      <c r="O316" s="82"/>
    </row>
    <row r="317" spans="1:15" s="1" customFormat="1" ht="24" customHeight="1">
      <c r="A317" s="35" t="s">
        <v>179</v>
      </c>
      <c r="B317" s="35"/>
      <c r="C317" s="35"/>
      <c r="D317" s="35"/>
      <c r="E317" s="35"/>
      <c r="F317" s="35"/>
      <c r="G317" s="17" t="s">
        <v>168</v>
      </c>
      <c r="H317" s="17" t="s">
        <v>421</v>
      </c>
      <c r="I317" s="18">
        <f>5065321</f>
        <v>5065321</v>
      </c>
      <c r="J317" s="36">
        <f>3544968.66</f>
        <v>3544968.66</v>
      </c>
      <c r="K317" s="36"/>
      <c r="L317" s="36"/>
      <c r="M317" s="36"/>
      <c r="N317" s="82">
        <f>1520352.34</f>
        <v>1520352.34</v>
      </c>
      <c r="O317" s="82"/>
    </row>
    <row r="318" spans="1:15" s="1" customFormat="1" ht="13.5" customHeight="1">
      <c r="A318" s="35" t="s">
        <v>201</v>
      </c>
      <c r="B318" s="35"/>
      <c r="C318" s="35"/>
      <c r="D318" s="35"/>
      <c r="E318" s="35"/>
      <c r="F318" s="35"/>
      <c r="G318" s="17" t="s">
        <v>168</v>
      </c>
      <c r="H318" s="17" t="s">
        <v>422</v>
      </c>
      <c r="I318" s="18">
        <f>33932</f>
        <v>33932</v>
      </c>
      <c r="J318" s="36">
        <f>26811</f>
        <v>26811</v>
      </c>
      <c r="K318" s="36"/>
      <c r="L318" s="36"/>
      <c r="M318" s="36"/>
      <c r="N318" s="82">
        <f>7121</f>
        <v>7121</v>
      </c>
      <c r="O318" s="82"/>
    </row>
    <row r="319" spans="1:15" s="1" customFormat="1" ht="13.5" customHeight="1">
      <c r="A319" s="35" t="s">
        <v>203</v>
      </c>
      <c r="B319" s="35"/>
      <c r="C319" s="35"/>
      <c r="D319" s="35"/>
      <c r="E319" s="35"/>
      <c r="F319" s="35"/>
      <c r="G319" s="17" t="s">
        <v>168</v>
      </c>
      <c r="H319" s="17" t="s">
        <v>423</v>
      </c>
      <c r="I319" s="18">
        <f>54909.86</f>
        <v>54909.86</v>
      </c>
      <c r="J319" s="36">
        <f>17613.59</f>
        <v>17613.59</v>
      </c>
      <c r="K319" s="36"/>
      <c r="L319" s="36"/>
      <c r="M319" s="36"/>
      <c r="N319" s="82">
        <f>37296.27</f>
        <v>37296.27</v>
      </c>
      <c r="O319" s="82"/>
    </row>
    <row r="320" spans="1:15" s="1" customFormat="1" ht="13.5" customHeight="1">
      <c r="A320" s="35" t="s">
        <v>205</v>
      </c>
      <c r="B320" s="35"/>
      <c r="C320" s="35"/>
      <c r="D320" s="35"/>
      <c r="E320" s="35"/>
      <c r="F320" s="35"/>
      <c r="G320" s="17" t="s">
        <v>168</v>
      </c>
      <c r="H320" s="17" t="s">
        <v>424</v>
      </c>
      <c r="I320" s="18">
        <f>189.14</f>
        <v>189.14</v>
      </c>
      <c r="J320" s="36">
        <f>189.14</f>
        <v>189.14</v>
      </c>
      <c r="K320" s="36"/>
      <c r="L320" s="36"/>
      <c r="M320" s="36"/>
      <c r="N320" s="82">
        <f>0</f>
        <v>0</v>
      </c>
      <c r="O320" s="82"/>
    </row>
    <row r="321" spans="1:15" s="1" customFormat="1" ht="24" customHeight="1">
      <c r="A321" s="35" t="s">
        <v>406</v>
      </c>
      <c r="B321" s="35"/>
      <c r="C321" s="35"/>
      <c r="D321" s="35"/>
      <c r="E321" s="35"/>
      <c r="F321" s="35"/>
      <c r="G321" s="17" t="s">
        <v>168</v>
      </c>
      <c r="H321" s="17" t="s">
        <v>425</v>
      </c>
      <c r="I321" s="18">
        <f>1695700</f>
        <v>1695700</v>
      </c>
      <c r="J321" s="36">
        <f>1543153.72</f>
        <v>1543153.72</v>
      </c>
      <c r="K321" s="36"/>
      <c r="L321" s="36"/>
      <c r="M321" s="36"/>
      <c r="N321" s="82">
        <f>152546.28</f>
        <v>152546.28</v>
      </c>
      <c r="O321" s="82"/>
    </row>
    <row r="322" spans="1:15" s="1" customFormat="1" ht="24" customHeight="1">
      <c r="A322" s="35" t="s">
        <v>177</v>
      </c>
      <c r="B322" s="35"/>
      <c r="C322" s="35"/>
      <c r="D322" s="35"/>
      <c r="E322" s="35"/>
      <c r="F322" s="35"/>
      <c r="G322" s="17" t="s">
        <v>168</v>
      </c>
      <c r="H322" s="17" t="s">
        <v>426</v>
      </c>
      <c r="I322" s="18">
        <f>418000</f>
        <v>418000</v>
      </c>
      <c r="J322" s="36">
        <f>168178.88</f>
        <v>168178.88</v>
      </c>
      <c r="K322" s="36"/>
      <c r="L322" s="36"/>
      <c r="M322" s="36"/>
      <c r="N322" s="82">
        <f>249821.12</f>
        <v>249821.12</v>
      </c>
      <c r="O322" s="82"/>
    </row>
    <row r="323" spans="1:15" s="1" customFormat="1" ht="24" customHeight="1">
      <c r="A323" s="35" t="s">
        <v>179</v>
      </c>
      <c r="B323" s="35"/>
      <c r="C323" s="35"/>
      <c r="D323" s="35"/>
      <c r="E323" s="35"/>
      <c r="F323" s="35"/>
      <c r="G323" s="17" t="s">
        <v>168</v>
      </c>
      <c r="H323" s="17" t="s">
        <v>427</v>
      </c>
      <c r="I323" s="18">
        <f>19400</f>
        <v>19400</v>
      </c>
      <c r="J323" s="36">
        <f>0</f>
        <v>0</v>
      </c>
      <c r="K323" s="36"/>
      <c r="L323" s="36"/>
      <c r="M323" s="36"/>
      <c r="N323" s="82">
        <f>19400</f>
        <v>19400</v>
      </c>
      <c r="O323" s="82"/>
    </row>
    <row r="324" spans="1:15" s="1" customFormat="1" ht="13.5" customHeight="1">
      <c r="A324" s="35" t="s">
        <v>169</v>
      </c>
      <c r="B324" s="35"/>
      <c r="C324" s="35"/>
      <c r="D324" s="35"/>
      <c r="E324" s="35"/>
      <c r="F324" s="35"/>
      <c r="G324" s="17" t="s">
        <v>168</v>
      </c>
      <c r="H324" s="17" t="s">
        <v>428</v>
      </c>
      <c r="I324" s="18">
        <f>3450020</f>
        <v>3450020</v>
      </c>
      <c r="J324" s="36">
        <f>2645115.37</f>
        <v>2645115.37</v>
      </c>
      <c r="K324" s="36"/>
      <c r="L324" s="36"/>
      <c r="M324" s="36"/>
      <c r="N324" s="82">
        <f>804904.63</f>
        <v>804904.63</v>
      </c>
      <c r="O324" s="82"/>
    </row>
    <row r="325" spans="1:15" s="1" customFormat="1" ht="33.75" customHeight="1">
      <c r="A325" s="35" t="s">
        <v>171</v>
      </c>
      <c r="B325" s="35"/>
      <c r="C325" s="35"/>
      <c r="D325" s="35"/>
      <c r="E325" s="35"/>
      <c r="F325" s="35"/>
      <c r="G325" s="17" t="s">
        <v>168</v>
      </c>
      <c r="H325" s="17" t="s">
        <v>429</v>
      </c>
      <c r="I325" s="18">
        <f>1042000</f>
        <v>1042000</v>
      </c>
      <c r="J325" s="36">
        <f>824632.92</f>
        <v>824632.92</v>
      </c>
      <c r="K325" s="36"/>
      <c r="L325" s="36"/>
      <c r="M325" s="36"/>
      <c r="N325" s="82">
        <f>217367.08</f>
        <v>217367.08</v>
      </c>
      <c r="O325" s="82"/>
    </row>
    <row r="326" spans="1:15" s="1" customFormat="1" ht="13.5" customHeight="1">
      <c r="A326" s="35" t="s">
        <v>169</v>
      </c>
      <c r="B326" s="35"/>
      <c r="C326" s="35"/>
      <c r="D326" s="35"/>
      <c r="E326" s="35"/>
      <c r="F326" s="35"/>
      <c r="G326" s="17" t="s">
        <v>168</v>
      </c>
      <c r="H326" s="17" t="s">
        <v>430</v>
      </c>
      <c r="I326" s="18">
        <f>604069</f>
        <v>604069</v>
      </c>
      <c r="J326" s="36">
        <f>452404</f>
        <v>452404</v>
      </c>
      <c r="K326" s="36"/>
      <c r="L326" s="36"/>
      <c r="M326" s="36"/>
      <c r="N326" s="82">
        <f>151665</f>
        <v>151665</v>
      </c>
      <c r="O326" s="82"/>
    </row>
    <row r="327" spans="1:15" s="1" customFormat="1" ht="24" customHeight="1">
      <c r="A327" s="35" t="s">
        <v>174</v>
      </c>
      <c r="B327" s="35"/>
      <c r="C327" s="35"/>
      <c r="D327" s="35"/>
      <c r="E327" s="35"/>
      <c r="F327" s="35"/>
      <c r="G327" s="17" t="s">
        <v>168</v>
      </c>
      <c r="H327" s="17" t="s">
        <v>431</v>
      </c>
      <c r="I327" s="18">
        <f>17000</f>
        <v>17000</v>
      </c>
      <c r="J327" s="36">
        <f>6124</f>
        <v>6124</v>
      </c>
      <c r="K327" s="36"/>
      <c r="L327" s="36"/>
      <c r="M327" s="36"/>
      <c r="N327" s="82">
        <f>10876</f>
        <v>10876</v>
      </c>
      <c r="O327" s="82"/>
    </row>
    <row r="328" spans="1:15" s="1" customFormat="1" ht="33.75" customHeight="1">
      <c r="A328" s="35" t="s">
        <v>171</v>
      </c>
      <c r="B328" s="35"/>
      <c r="C328" s="35"/>
      <c r="D328" s="35"/>
      <c r="E328" s="35"/>
      <c r="F328" s="35"/>
      <c r="G328" s="17" t="s">
        <v>168</v>
      </c>
      <c r="H328" s="17" t="s">
        <v>432</v>
      </c>
      <c r="I328" s="18">
        <f>182430</f>
        <v>182430</v>
      </c>
      <c r="J328" s="36">
        <f>121322.3</f>
        <v>121322.3</v>
      </c>
      <c r="K328" s="36"/>
      <c r="L328" s="36"/>
      <c r="M328" s="36"/>
      <c r="N328" s="82">
        <f>61107.7</f>
        <v>61107.7</v>
      </c>
      <c r="O328" s="82"/>
    </row>
    <row r="329" spans="1:15" s="1" customFormat="1" ht="24" customHeight="1">
      <c r="A329" s="35" t="s">
        <v>177</v>
      </c>
      <c r="B329" s="35"/>
      <c r="C329" s="35"/>
      <c r="D329" s="35"/>
      <c r="E329" s="35"/>
      <c r="F329" s="35"/>
      <c r="G329" s="17" t="s">
        <v>168</v>
      </c>
      <c r="H329" s="17" t="s">
        <v>433</v>
      </c>
      <c r="I329" s="18">
        <f>95423</f>
        <v>95423</v>
      </c>
      <c r="J329" s="36">
        <f>62937.74</f>
        <v>62937.74</v>
      </c>
      <c r="K329" s="36"/>
      <c r="L329" s="36"/>
      <c r="M329" s="36"/>
      <c r="N329" s="82">
        <f>32485.26</f>
        <v>32485.26</v>
      </c>
      <c r="O329" s="82"/>
    </row>
    <row r="330" spans="1:15" s="1" customFormat="1" ht="24" customHeight="1">
      <c r="A330" s="35" t="s">
        <v>179</v>
      </c>
      <c r="B330" s="35"/>
      <c r="C330" s="35"/>
      <c r="D330" s="35"/>
      <c r="E330" s="35"/>
      <c r="F330" s="35"/>
      <c r="G330" s="17" t="s">
        <v>168</v>
      </c>
      <c r="H330" s="17" t="s">
        <v>434</v>
      </c>
      <c r="I330" s="18">
        <f>154100</f>
        <v>154100</v>
      </c>
      <c r="J330" s="36">
        <f>100559.85</f>
        <v>100559.85</v>
      </c>
      <c r="K330" s="36"/>
      <c r="L330" s="36"/>
      <c r="M330" s="36"/>
      <c r="N330" s="82">
        <f>53540.15</f>
        <v>53540.15</v>
      </c>
      <c r="O330" s="82"/>
    </row>
    <row r="331" spans="1:15" s="1" customFormat="1" ht="13.5" customHeight="1">
      <c r="A331" s="35" t="s">
        <v>201</v>
      </c>
      <c r="B331" s="35"/>
      <c r="C331" s="35"/>
      <c r="D331" s="35"/>
      <c r="E331" s="35"/>
      <c r="F331" s="35"/>
      <c r="G331" s="17" t="s">
        <v>168</v>
      </c>
      <c r="H331" s="17" t="s">
        <v>435</v>
      </c>
      <c r="I331" s="18">
        <f>7000</f>
        <v>7000</v>
      </c>
      <c r="J331" s="36">
        <f>1457</f>
        <v>1457</v>
      </c>
      <c r="K331" s="36"/>
      <c r="L331" s="36"/>
      <c r="M331" s="36"/>
      <c r="N331" s="82">
        <f>5543</f>
        <v>5543</v>
      </c>
      <c r="O331" s="82"/>
    </row>
    <row r="332" spans="1:15" s="1" customFormat="1" ht="13.5" customHeight="1">
      <c r="A332" s="35" t="s">
        <v>203</v>
      </c>
      <c r="B332" s="35"/>
      <c r="C332" s="35"/>
      <c r="D332" s="35"/>
      <c r="E332" s="35"/>
      <c r="F332" s="35"/>
      <c r="G332" s="17" t="s">
        <v>168</v>
      </c>
      <c r="H332" s="17" t="s">
        <v>436</v>
      </c>
      <c r="I332" s="18">
        <f>7000</f>
        <v>7000</v>
      </c>
      <c r="J332" s="36">
        <f>3046</f>
        <v>3046</v>
      </c>
      <c r="K332" s="36"/>
      <c r="L332" s="36"/>
      <c r="M332" s="36"/>
      <c r="N332" s="82">
        <f>3954</f>
        <v>3954</v>
      </c>
      <c r="O332" s="82"/>
    </row>
    <row r="333" spans="1:15" s="1" customFormat="1" ht="13.5" customHeight="1">
      <c r="A333" s="35" t="s">
        <v>213</v>
      </c>
      <c r="B333" s="35"/>
      <c r="C333" s="35"/>
      <c r="D333" s="35"/>
      <c r="E333" s="35"/>
      <c r="F333" s="35"/>
      <c r="G333" s="17" t="s">
        <v>168</v>
      </c>
      <c r="H333" s="17" t="s">
        <v>437</v>
      </c>
      <c r="I333" s="18">
        <f>86700</f>
        <v>86700</v>
      </c>
      <c r="J333" s="36">
        <f>86700</f>
        <v>86700</v>
      </c>
      <c r="K333" s="36"/>
      <c r="L333" s="36"/>
      <c r="M333" s="36"/>
      <c r="N333" s="82">
        <f>0</f>
        <v>0</v>
      </c>
      <c r="O333" s="82"/>
    </row>
    <row r="334" spans="1:15" s="1" customFormat="1" ht="24" customHeight="1">
      <c r="A334" s="35" t="s">
        <v>177</v>
      </c>
      <c r="B334" s="35"/>
      <c r="C334" s="35"/>
      <c r="D334" s="35"/>
      <c r="E334" s="35"/>
      <c r="F334" s="35"/>
      <c r="G334" s="17" t="s">
        <v>168</v>
      </c>
      <c r="H334" s="17" t="s">
        <v>438</v>
      </c>
      <c r="I334" s="18">
        <f>24500</f>
        <v>24500</v>
      </c>
      <c r="J334" s="36">
        <f>24500</f>
        <v>24500</v>
      </c>
      <c r="K334" s="36"/>
      <c r="L334" s="36"/>
      <c r="M334" s="36"/>
      <c r="N334" s="82">
        <f>0</f>
        <v>0</v>
      </c>
      <c r="O334" s="82"/>
    </row>
    <row r="335" spans="1:15" s="1" customFormat="1" ht="13.5" customHeight="1">
      <c r="A335" s="35" t="s">
        <v>439</v>
      </c>
      <c r="B335" s="35"/>
      <c r="C335" s="35"/>
      <c r="D335" s="35"/>
      <c r="E335" s="35"/>
      <c r="F335" s="35"/>
      <c r="G335" s="17" t="s">
        <v>168</v>
      </c>
      <c r="H335" s="17" t="s">
        <v>440</v>
      </c>
      <c r="I335" s="18">
        <f>576200</f>
        <v>576200</v>
      </c>
      <c r="J335" s="36">
        <f>515400</f>
        <v>515400</v>
      </c>
      <c r="K335" s="36"/>
      <c r="L335" s="36"/>
      <c r="M335" s="36"/>
      <c r="N335" s="82">
        <f>60800</f>
        <v>60800</v>
      </c>
      <c r="O335" s="82"/>
    </row>
    <row r="336" spans="1:15" s="1" customFormat="1" ht="13.5" customHeight="1">
      <c r="A336" s="35" t="s">
        <v>441</v>
      </c>
      <c r="B336" s="35"/>
      <c r="C336" s="35"/>
      <c r="D336" s="35"/>
      <c r="E336" s="35"/>
      <c r="F336" s="35"/>
      <c r="G336" s="17" t="s">
        <v>168</v>
      </c>
      <c r="H336" s="17" t="s">
        <v>442</v>
      </c>
      <c r="I336" s="18">
        <f>5000</f>
        <v>5000</v>
      </c>
      <c r="J336" s="44" t="s">
        <v>51</v>
      </c>
      <c r="K336" s="44"/>
      <c r="L336" s="44"/>
      <c r="M336" s="44"/>
      <c r="N336" s="82">
        <f>5000</f>
        <v>5000</v>
      </c>
      <c r="O336" s="82"/>
    </row>
    <row r="337" spans="1:15" s="1" customFormat="1" ht="13.5" customHeight="1">
      <c r="A337" s="35" t="s">
        <v>441</v>
      </c>
      <c r="B337" s="35"/>
      <c r="C337" s="35"/>
      <c r="D337" s="35"/>
      <c r="E337" s="35"/>
      <c r="F337" s="35"/>
      <c r="G337" s="17" t="s">
        <v>168</v>
      </c>
      <c r="H337" s="17" t="s">
        <v>443</v>
      </c>
      <c r="I337" s="18">
        <f>170000</f>
        <v>170000</v>
      </c>
      <c r="J337" s="36">
        <f>50000</f>
        <v>50000</v>
      </c>
      <c r="K337" s="36"/>
      <c r="L337" s="36"/>
      <c r="M337" s="36"/>
      <c r="N337" s="82">
        <f>120000</f>
        <v>120000</v>
      </c>
      <c r="O337" s="82"/>
    </row>
    <row r="338" spans="1:15" s="1" customFormat="1" ht="13.5" customHeight="1">
      <c r="A338" s="35" t="s">
        <v>441</v>
      </c>
      <c r="B338" s="35"/>
      <c r="C338" s="35"/>
      <c r="D338" s="35"/>
      <c r="E338" s="35"/>
      <c r="F338" s="35"/>
      <c r="G338" s="17" t="s">
        <v>168</v>
      </c>
      <c r="H338" s="17" t="s">
        <v>444</v>
      </c>
      <c r="I338" s="18">
        <f>904668</f>
        <v>904668</v>
      </c>
      <c r="J338" s="36">
        <f>400982.11</f>
        <v>400982.11</v>
      </c>
      <c r="K338" s="36"/>
      <c r="L338" s="36"/>
      <c r="M338" s="36"/>
      <c r="N338" s="82">
        <f>503685.89</f>
        <v>503685.89</v>
      </c>
      <c r="O338" s="82"/>
    </row>
    <row r="339" spans="1:15" s="1" customFormat="1" ht="24" customHeight="1">
      <c r="A339" s="35" t="s">
        <v>445</v>
      </c>
      <c r="B339" s="35"/>
      <c r="C339" s="35"/>
      <c r="D339" s="35"/>
      <c r="E339" s="35"/>
      <c r="F339" s="35"/>
      <c r="G339" s="17" t="s">
        <v>168</v>
      </c>
      <c r="H339" s="17" t="s">
        <v>446</v>
      </c>
      <c r="I339" s="18">
        <f>467400</f>
        <v>467400</v>
      </c>
      <c r="J339" s="36">
        <f>467400</f>
        <v>467400</v>
      </c>
      <c r="K339" s="36"/>
      <c r="L339" s="36"/>
      <c r="M339" s="36"/>
      <c r="N339" s="82">
        <f>0</f>
        <v>0</v>
      </c>
      <c r="O339" s="82"/>
    </row>
    <row r="340" spans="1:15" s="1" customFormat="1" ht="24" customHeight="1">
      <c r="A340" s="35" t="s">
        <v>445</v>
      </c>
      <c r="B340" s="35"/>
      <c r="C340" s="35"/>
      <c r="D340" s="35"/>
      <c r="E340" s="35"/>
      <c r="F340" s="35"/>
      <c r="G340" s="17" t="s">
        <v>168</v>
      </c>
      <c r="H340" s="17" t="s">
        <v>447</v>
      </c>
      <c r="I340" s="18">
        <f>218230</f>
        <v>218230</v>
      </c>
      <c r="J340" s="36">
        <f>218230</f>
        <v>218230</v>
      </c>
      <c r="K340" s="36"/>
      <c r="L340" s="36"/>
      <c r="M340" s="36"/>
      <c r="N340" s="82">
        <f>0</f>
        <v>0</v>
      </c>
      <c r="O340" s="82"/>
    </row>
    <row r="341" spans="1:15" s="1" customFormat="1" ht="13.5" customHeight="1">
      <c r="A341" s="35" t="s">
        <v>441</v>
      </c>
      <c r="B341" s="35"/>
      <c r="C341" s="35"/>
      <c r="D341" s="35"/>
      <c r="E341" s="35"/>
      <c r="F341" s="35"/>
      <c r="G341" s="17" t="s">
        <v>168</v>
      </c>
      <c r="H341" s="17" t="s">
        <v>448</v>
      </c>
      <c r="I341" s="18">
        <f>985630</f>
        <v>985630</v>
      </c>
      <c r="J341" s="36">
        <f>643420.97</f>
        <v>643420.97</v>
      </c>
      <c r="K341" s="36"/>
      <c r="L341" s="36"/>
      <c r="M341" s="36"/>
      <c r="N341" s="82">
        <f>342209.03</f>
        <v>342209.03</v>
      </c>
      <c r="O341" s="82"/>
    </row>
    <row r="342" spans="1:15" s="1" customFormat="1" ht="13.5" customHeight="1">
      <c r="A342" s="35" t="s">
        <v>449</v>
      </c>
      <c r="B342" s="35"/>
      <c r="C342" s="35"/>
      <c r="D342" s="35"/>
      <c r="E342" s="35"/>
      <c r="F342" s="35"/>
      <c r="G342" s="17" t="s">
        <v>168</v>
      </c>
      <c r="H342" s="17" t="s">
        <v>450</v>
      </c>
      <c r="I342" s="18">
        <f>58000</f>
        <v>58000</v>
      </c>
      <c r="J342" s="36">
        <f>19836.07</f>
        <v>19836.07</v>
      </c>
      <c r="K342" s="36"/>
      <c r="L342" s="36"/>
      <c r="M342" s="36"/>
      <c r="N342" s="82">
        <f>38163.93</f>
        <v>38163.93</v>
      </c>
      <c r="O342" s="82"/>
    </row>
    <row r="343" spans="1:15" s="1" customFormat="1" ht="13.5" customHeight="1">
      <c r="A343" s="35" t="s">
        <v>451</v>
      </c>
      <c r="B343" s="35"/>
      <c r="C343" s="35"/>
      <c r="D343" s="35"/>
      <c r="E343" s="35"/>
      <c r="F343" s="35"/>
      <c r="G343" s="17" t="s">
        <v>168</v>
      </c>
      <c r="H343" s="17" t="s">
        <v>452</v>
      </c>
      <c r="I343" s="18">
        <f>17743700</f>
        <v>17743700</v>
      </c>
      <c r="J343" s="36">
        <f>14906410</f>
        <v>14906410</v>
      </c>
      <c r="K343" s="36"/>
      <c r="L343" s="36"/>
      <c r="M343" s="36"/>
      <c r="N343" s="82">
        <f>2837290</f>
        <v>2837290</v>
      </c>
      <c r="O343" s="82"/>
    </row>
    <row r="344" spans="1:15" s="1" customFormat="1" ht="13.5" customHeight="1">
      <c r="A344" s="35" t="s">
        <v>451</v>
      </c>
      <c r="B344" s="35"/>
      <c r="C344" s="35"/>
      <c r="D344" s="35"/>
      <c r="E344" s="35"/>
      <c r="F344" s="35"/>
      <c r="G344" s="17" t="s">
        <v>168</v>
      </c>
      <c r="H344" s="17" t="s">
        <v>453</v>
      </c>
      <c r="I344" s="18">
        <f>6786800</f>
        <v>6786800</v>
      </c>
      <c r="J344" s="36">
        <f>5655668</f>
        <v>5655668</v>
      </c>
      <c r="K344" s="36"/>
      <c r="L344" s="36"/>
      <c r="M344" s="36"/>
      <c r="N344" s="82">
        <f>1131132</f>
        <v>1131132</v>
      </c>
      <c r="O344" s="82"/>
    </row>
    <row r="345" spans="1:15" s="1" customFormat="1" ht="13.5" customHeight="1">
      <c r="A345" s="35" t="s">
        <v>441</v>
      </c>
      <c r="B345" s="35"/>
      <c r="C345" s="35"/>
      <c r="D345" s="35"/>
      <c r="E345" s="35"/>
      <c r="F345" s="35"/>
      <c r="G345" s="17" t="s">
        <v>168</v>
      </c>
      <c r="H345" s="17" t="s">
        <v>454</v>
      </c>
      <c r="I345" s="18">
        <f>343798</f>
        <v>343798</v>
      </c>
      <c r="J345" s="36">
        <f>343798</f>
        <v>343798</v>
      </c>
      <c r="K345" s="36"/>
      <c r="L345" s="36"/>
      <c r="M345" s="36"/>
      <c r="N345" s="82">
        <f>0</f>
        <v>0</v>
      </c>
      <c r="O345" s="82"/>
    </row>
    <row r="346" spans="1:15" s="1" customFormat="1" ht="15" customHeight="1">
      <c r="A346" s="72" t="s">
        <v>455</v>
      </c>
      <c r="B346" s="72"/>
      <c r="C346" s="72"/>
      <c r="D346" s="72"/>
      <c r="E346" s="72"/>
      <c r="F346" s="72"/>
      <c r="G346" s="19" t="s">
        <v>456</v>
      </c>
      <c r="H346" s="19" t="s">
        <v>36</v>
      </c>
      <c r="I346" s="20">
        <f>-8643253.41</f>
        <v>-8643253.41</v>
      </c>
      <c r="J346" s="73">
        <f>45307275.03</f>
        <v>45307275.03</v>
      </c>
      <c r="K346" s="73"/>
      <c r="L346" s="73"/>
      <c r="M346" s="73"/>
      <c r="N346" s="74" t="s">
        <v>36</v>
      </c>
      <c r="O346" s="74"/>
    </row>
    <row r="347" spans="1:15" s="1" customFormat="1" ht="13.5" customHeight="1">
      <c r="A347" s="75" t="s">
        <v>10</v>
      </c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</row>
    <row r="348" spans="1:15" s="1" customFormat="1" ht="13.5" customHeight="1" thickBot="1">
      <c r="A348" s="76" t="s">
        <v>457</v>
      </c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</row>
    <row r="349" spans="1:15" s="1" customFormat="1" ht="45.75" customHeight="1">
      <c r="A349" s="77" t="s">
        <v>22</v>
      </c>
      <c r="B349" s="78"/>
      <c r="C349" s="78"/>
      <c r="D349" s="78"/>
      <c r="E349" s="78"/>
      <c r="F349" s="78"/>
      <c r="G349" s="28" t="s">
        <v>23</v>
      </c>
      <c r="H349" s="28" t="s">
        <v>458</v>
      </c>
      <c r="I349" s="29" t="s">
        <v>25</v>
      </c>
      <c r="J349" s="79" t="s">
        <v>26</v>
      </c>
      <c r="K349" s="79"/>
      <c r="L349" s="79"/>
      <c r="M349" s="79"/>
      <c r="N349" s="80" t="s">
        <v>27</v>
      </c>
      <c r="O349" s="81"/>
    </row>
    <row r="350" spans="1:15" s="1" customFormat="1" ht="12.75" customHeight="1" thickBot="1">
      <c r="A350" s="62" t="s">
        <v>28</v>
      </c>
      <c r="B350" s="63"/>
      <c r="C350" s="63"/>
      <c r="D350" s="63"/>
      <c r="E350" s="63"/>
      <c r="F350" s="63"/>
      <c r="G350" s="10" t="s">
        <v>29</v>
      </c>
      <c r="H350" s="10" t="s">
        <v>30</v>
      </c>
      <c r="I350" s="11" t="s">
        <v>31</v>
      </c>
      <c r="J350" s="64" t="s">
        <v>32</v>
      </c>
      <c r="K350" s="64"/>
      <c r="L350" s="64"/>
      <c r="M350" s="64"/>
      <c r="N350" s="65" t="s">
        <v>33</v>
      </c>
      <c r="O350" s="66"/>
    </row>
    <row r="351" spans="1:15" s="1" customFormat="1" ht="13.5" customHeight="1" thickBot="1">
      <c r="A351" s="67" t="s">
        <v>459</v>
      </c>
      <c r="B351" s="68"/>
      <c r="C351" s="68"/>
      <c r="D351" s="68"/>
      <c r="E351" s="68"/>
      <c r="F351" s="68"/>
      <c r="G351" s="12" t="s">
        <v>460</v>
      </c>
      <c r="H351" s="12" t="s">
        <v>36</v>
      </c>
      <c r="I351" s="21">
        <f>8643253.41</f>
        <v>8643253.41</v>
      </c>
      <c r="J351" s="69">
        <f>-45307275.03</f>
        <v>-45307275.03</v>
      </c>
      <c r="K351" s="69"/>
      <c r="L351" s="69"/>
      <c r="M351" s="69"/>
      <c r="N351" s="70">
        <f>53950528.44</f>
        <v>53950528.44</v>
      </c>
      <c r="O351" s="71"/>
    </row>
    <row r="352" spans="1:15" s="1" customFormat="1" ht="13.5" customHeight="1">
      <c r="A352" s="54" t="s">
        <v>461</v>
      </c>
      <c r="B352" s="55"/>
      <c r="C352" s="55"/>
      <c r="D352" s="55"/>
      <c r="E352" s="55"/>
      <c r="F352" s="55"/>
      <c r="G352" s="22" t="s">
        <v>10</v>
      </c>
      <c r="H352" s="22" t="s">
        <v>10</v>
      </c>
      <c r="I352" s="23" t="s">
        <v>10</v>
      </c>
      <c r="J352" s="56" t="s">
        <v>10</v>
      </c>
      <c r="K352" s="56"/>
      <c r="L352" s="56"/>
      <c r="M352" s="56"/>
      <c r="N352" s="52" t="s">
        <v>10</v>
      </c>
      <c r="O352" s="53"/>
    </row>
    <row r="353" spans="1:15" s="1" customFormat="1" ht="13.5" customHeight="1">
      <c r="A353" s="57" t="s">
        <v>462</v>
      </c>
      <c r="B353" s="58"/>
      <c r="C353" s="58"/>
      <c r="D353" s="58"/>
      <c r="E353" s="58"/>
      <c r="F353" s="58"/>
      <c r="G353" s="24" t="s">
        <v>463</v>
      </c>
      <c r="H353" s="14" t="s">
        <v>36</v>
      </c>
      <c r="I353" s="25">
        <f>-800000</f>
        <v>-800000</v>
      </c>
      <c r="J353" s="59">
        <f>-800000</f>
        <v>-800000</v>
      </c>
      <c r="K353" s="59"/>
      <c r="L353" s="59"/>
      <c r="M353" s="59"/>
      <c r="N353" s="60">
        <f>0</f>
        <v>0</v>
      </c>
      <c r="O353" s="61"/>
    </row>
    <row r="354" spans="1:15" s="1" customFormat="1" ht="24" customHeight="1">
      <c r="A354" s="34" t="s">
        <v>464</v>
      </c>
      <c r="B354" s="35"/>
      <c r="C354" s="35"/>
      <c r="D354" s="35"/>
      <c r="E354" s="35"/>
      <c r="F354" s="35"/>
      <c r="G354" s="17" t="s">
        <v>463</v>
      </c>
      <c r="H354" s="17" t="s">
        <v>465</v>
      </c>
      <c r="I354" s="26">
        <f>-800000</f>
        <v>-800000</v>
      </c>
      <c r="J354" s="36">
        <f>-800000</f>
        <v>-800000</v>
      </c>
      <c r="K354" s="36"/>
      <c r="L354" s="36"/>
      <c r="M354" s="36"/>
      <c r="N354" s="47">
        <f>0</f>
        <v>0</v>
      </c>
      <c r="O354" s="48"/>
    </row>
    <row r="355" spans="1:15" s="1" customFormat="1" ht="0.75" customHeight="1">
      <c r="A355" s="49" t="s">
        <v>10</v>
      </c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1"/>
    </row>
    <row r="356" spans="1:15" s="1" customFormat="1" ht="13.5" customHeight="1">
      <c r="A356" s="34" t="s">
        <v>466</v>
      </c>
      <c r="B356" s="35"/>
      <c r="C356" s="35"/>
      <c r="D356" s="35"/>
      <c r="E356" s="35"/>
      <c r="F356" s="35"/>
      <c r="G356" s="22" t="s">
        <v>467</v>
      </c>
      <c r="H356" s="22" t="s">
        <v>36</v>
      </c>
      <c r="I356" s="23" t="s">
        <v>51</v>
      </c>
      <c r="J356" s="44" t="s">
        <v>51</v>
      </c>
      <c r="K356" s="44"/>
      <c r="L356" s="44"/>
      <c r="M356" s="44"/>
      <c r="N356" s="52" t="s">
        <v>51</v>
      </c>
      <c r="O356" s="53"/>
    </row>
    <row r="357" spans="1:15" s="1" customFormat="1" ht="13.5" customHeight="1">
      <c r="A357" s="34" t="s">
        <v>10</v>
      </c>
      <c r="B357" s="35"/>
      <c r="C357" s="35"/>
      <c r="D357" s="35"/>
      <c r="E357" s="35"/>
      <c r="F357" s="35"/>
      <c r="G357" s="17" t="s">
        <v>467</v>
      </c>
      <c r="H357" s="17" t="s">
        <v>10</v>
      </c>
      <c r="I357" s="27" t="s">
        <v>51</v>
      </c>
      <c r="J357" s="44" t="s">
        <v>51</v>
      </c>
      <c r="K357" s="44"/>
      <c r="L357" s="44"/>
      <c r="M357" s="44"/>
      <c r="N357" s="45" t="s">
        <v>51</v>
      </c>
      <c r="O357" s="46"/>
    </row>
    <row r="358" spans="1:15" s="1" customFormat="1" ht="13.5" customHeight="1">
      <c r="A358" s="34" t="s">
        <v>468</v>
      </c>
      <c r="B358" s="35"/>
      <c r="C358" s="35"/>
      <c r="D358" s="35"/>
      <c r="E358" s="35"/>
      <c r="F358" s="35"/>
      <c r="G358" s="17" t="s">
        <v>469</v>
      </c>
      <c r="H358" s="17" t="s">
        <v>476</v>
      </c>
      <c r="I358" s="26">
        <f>9443253.41</f>
        <v>9443253.41</v>
      </c>
      <c r="J358" s="36">
        <f>-44507275.03</f>
        <v>-44507275.03</v>
      </c>
      <c r="K358" s="36"/>
      <c r="L358" s="36"/>
      <c r="M358" s="36"/>
      <c r="N358" s="47">
        <f>53950528.44</f>
        <v>53950528.44</v>
      </c>
      <c r="O358" s="48"/>
    </row>
    <row r="359" spans="1:15" s="1" customFormat="1" ht="13.5" customHeight="1">
      <c r="A359" s="34" t="s">
        <v>470</v>
      </c>
      <c r="B359" s="35"/>
      <c r="C359" s="35"/>
      <c r="D359" s="35"/>
      <c r="E359" s="35"/>
      <c r="F359" s="35"/>
      <c r="G359" s="17" t="s">
        <v>471</v>
      </c>
      <c r="H359" s="17" t="s">
        <v>472</v>
      </c>
      <c r="I359" s="26">
        <f>-463935646.95</f>
        <v>-463935646.95</v>
      </c>
      <c r="J359" s="36">
        <v>-380327787.6</v>
      </c>
      <c r="K359" s="36"/>
      <c r="L359" s="36"/>
      <c r="M359" s="36"/>
      <c r="N359" s="37" t="s">
        <v>36</v>
      </c>
      <c r="O359" s="38"/>
    </row>
    <row r="360" spans="1:15" s="1" customFormat="1" ht="13.5" customHeight="1" thickBot="1">
      <c r="A360" s="39" t="s">
        <v>473</v>
      </c>
      <c r="B360" s="40"/>
      <c r="C360" s="40"/>
      <c r="D360" s="40"/>
      <c r="E360" s="40"/>
      <c r="F360" s="40"/>
      <c r="G360" s="30" t="s">
        <v>474</v>
      </c>
      <c r="H360" s="30" t="s">
        <v>475</v>
      </c>
      <c r="I360" s="31">
        <f>473378900.36</f>
        <v>473378900.36</v>
      </c>
      <c r="J360" s="41">
        <v>335820512.57</v>
      </c>
      <c r="K360" s="41"/>
      <c r="L360" s="41"/>
      <c r="M360" s="41"/>
      <c r="N360" s="42" t="s">
        <v>36</v>
      </c>
      <c r="O360" s="43"/>
    </row>
  </sheetData>
  <sheetProtection/>
  <mergeCells count="1048">
    <mergeCell ref="A6:N6"/>
    <mergeCell ref="A7:N7"/>
    <mergeCell ref="A8:L8"/>
    <mergeCell ref="M8:N8"/>
    <mergeCell ref="A9:C10"/>
    <mergeCell ref="D9:K10"/>
    <mergeCell ref="L9:N9"/>
    <mergeCell ref="L10:N10"/>
    <mergeCell ref="A11:D11"/>
    <mergeCell ref="E11:K11"/>
    <mergeCell ref="L11:N11"/>
    <mergeCell ref="B12:N12"/>
    <mergeCell ref="A13:B13"/>
    <mergeCell ref="C13:J13"/>
    <mergeCell ref="K13:N13"/>
    <mergeCell ref="A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7:F47"/>
    <mergeCell ref="J47:M47"/>
    <mergeCell ref="N47:O47"/>
    <mergeCell ref="A45:F45"/>
    <mergeCell ref="J45:M45"/>
    <mergeCell ref="N45:O45"/>
    <mergeCell ref="A46:F46"/>
    <mergeCell ref="J46:M46"/>
    <mergeCell ref="N46:O46"/>
    <mergeCell ref="A50:F50"/>
    <mergeCell ref="J50:M50"/>
    <mergeCell ref="N50:O50"/>
    <mergeCell ref="A48:F48"/>
    <mergeCell ref="J48:M48"/>
    <mergeCell ref="N48:O48"/>
    <mergeCell ref="A49:F49"/>
    <mergeCell ref="J49:M49"/>
    <mergeCell ref="N49:O49"/>
    <mergeCell ref="A53:F53"/>
    <mergeCell ref="J53:M53"/>
    <mergeCell ref="N53:O53"/>
    <mergeCell ref="A51:F51"/>
    <mergeCell ref="J51:M51"/>
    <mergeCell ref="N51:O51"/>
    <mergeCell ref="A52:F52"/>
    <mergeCell ref="J52:M52"/>
    <mergeCell ref="N52:O52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4:F74"/>
    <mergeCell ref="J74:M74"/>
    <mergeCell ref="N74:O74"/>
    <mergeCell ref="A72:F72"/>
    <mergeCell ref="J72:M72"/>
    <mergeCell ref="N72:O72"/>
    <mergeCell ref="A73:F73"/>
    <mergeCell ref="J73:M73"/>
    <mergeCell ref="N73:O73"/>
    <mergeCell ref="A75:F75"/>
    <mergeCell ref="J75:M75"/>
    <mergeCell ref="N75:O75"/>
    <mergeCell ref="A76:F76"/>
    <mergeCell ref="J76:M76"/>
    <mergeCell ref="N76:O76"/>
    <mergeCell ref="A79:F79"/>
    <mergeCell ref="J79:M79"/>
    <mergeCell ref="N79:O79"/>
    <mergeCell ref="A77:F77"/>
    <mergeCell ref="J77:M77"/>
    <mergeCell ref="N77:O77"/>
    <mergeCell ref="A78:F78"/>
    <mergeCell ref="J78:M78"/>
    <mergeCell ref="N78:O78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O86"/>
    <mergeCell ref="A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2:F102"/>
    <mergeCell ref="J102:M102"/>
    <mergeCell ref="N102:O102"/>
    <mergeCell ref="A100:F100"/>
    <mergeCell ref="J100:M100"/>
    <mergeCell ref="N100:O100"/>
    <mergeCell ref="A101:F101"/>
    <mergeCell ref="J101:M101"/>
    <mergeCell ref="N101:O101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5:F125"/>
    <mergeCell ref="J125:M125"/>
    <mergeCell ref="N125:O125"/>
    <mergeCell ref="A123:F123"/>
    <mergeCell ref="J123:M123"/>
    <mergeCell ref="N123:O123"/>
    <mergeCell ref="A124:F124"/>
    <mergeCell ref="J124:M124"/>
    <mergeCell ref="N124:O124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F134"/>
    <mergeCell ref="J134:M134"/>
    <mergeCell ref="N134:O134"/>
    <mergeCell ref="A135:F135"/>
    <mergeCell ref="J135:M135"/>
    <mergeCell ref="N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F139"/>
    <mergeCell ref="J139:M139"/>
    <mergeCell ref="N139:O139"/>
    <mergeCell ref="A140:F140"/>
    <mergeCell ref="J140:M140"/>
    <mergeCell ref="N140:O140"/>
    <mergeCell ref="A141:F141"/>
    <mergeCell ref="J141:M141"/>
    <mergeCell ref="N141:O141"/>
    <mergeCell ref="A142:F142"/>
    <mergeCell ref="J142:M142"/>
    <mergeCell ref="N142:O142"/>
    <mergeCell ref="A143:F143"/>
    <mergeCell ref="J143:M143"/>
    <mergeCell ref="N143:O143"/>
    <mergeCell ref="A144:F144"/>
    <mergeCell ref="J144:M144"/>
    <mergeCell ref="N144:O144"/>
    <mergeCell ref="A145:F145"/>
    <mergeCell ref="J145:M145"/>
    <mergeCell ref="N145:O145"/>
    <mergeCell ref="A146:F146"/>
    <mergeCell ref="J146:M146"/>
    <mergeCell ref="N146:O146"/>
    <mergeCell ref="A147:F147"/>
    <mergeCell ref="J147:M147"/>
    <mergeCell ref="N147:O147"/>
    <mergeCell ref="A148:F148"/>
    <mergeCell ref="J148:M148"/>
    <mergeCell ref="N148:O148"/>
    <mergeCell ref="A149:F149"/>
    <mergeCell ref="J149:M149"/>
    <mergeCell ref="N149:O149"/>
    <mergeCell ref="A150:F150"/>
    <mergeCell ref="J150:M150"/>
    <mergeCell ref="N150:O150"/>
    <mergeCell ref="A151:F151"/>
    <mergeCell ref="J151:M151"/>
    <mergeCell ref="N151:O151"/>
    <mergeCell ref="A152:F152"/>
    <mergeCell ref="J152:M152"/>
    <mergeCell ref="N152:O152"/>
    <mergeCell ref="A153:F153"/>
    <mergeCell ref="J153:M153"/>
    <mergeCell ref="N153:O153"/>
    <mergeCell ref="A154:F154"/>
    <mergeCell ref="J154:M154"/>
    <mergeCell ref="N154:O154"/>
    <mergeCell ref="A155:F155"/>
    <mergeCell ref="J155:M155"/>
    <mergeCell ref="N155:O155"/>
    <mergeCell ref="A156:F156"/>
    <mergeCell ref="J156:M156"/>
    <mergeCell ref="N156:O156"/>
    <mergeCell ref="A157:F157"/>
    <mergeCell ref="J157:M157"/>
    <mergeCell ref="N157:O157"/>
    <mergeCell ref="A158:F158"/>
    <mergeCell ref="J158:M158"/>
    <mergeCell ref="N158:O158"/>
    <mergeCell ref="A159:F159"/>
    <mergeCell ref="J159:M159"/>
    <mergeCell ref="N159:O159"/>
    <mergeCell ref="A160:F160"/>
    <mergeCell ref="J160:M160"/>
    <mergeCell ref="N160:O160"/>
    <mergeCell ref="A161:F161"/>
    <mergeCell ref="J161:M161"/>
    <mergeCell ref="N161:O161"/>
    <mergeCell ref="A162:F162"/>
    <mergeCell ref="J162:M162"/>
    <mergeCell ref="N162:O162"/>
    <mergeCell ref="A163:F163"/>
    <mergeCell ref="J163:M163"/>
    <mergeCell ref="N163:O163"/>
    <mergeCell ref="A164:F164"/>
    <mergeCell ref="J164:M164"/>
    <mergeCell ref="N164:O164"/>
    <mergeCell ref="A165:F165"/>
    <mergeCell ref="J165:M165"/>
    <mergeCell ref="N165:O165"/>
    <mergeCell ref="A166:F166"/>
    <mergeCell ref="J166:M166"/>
    <mergeCell ref="N166:O166"/>
    <mergeCell ref="A167:F167"/>
    <mergeCell ref="J167:M167"/>
    <mergeCell ref="N167:O167"/>
    <mergeCell ref="A168:F168"/>
    <mergeCell ref="J168:M168"/>
    <mergeCell ref="N168:O168"/>
    <mergeCell ref="A169:F169"/>
    <mergeCell ref="J169:M169"/>
    <mergeCell ref="N169:O169"/>
    <mergeCell ref="A170:F170"/>
    <mergeCell ref="J170:M170"/>
    <mergeCell ref="N170:O170"/>
    <mergeCell ref="A171:F171"/>
    <mergeCell ref="J171:M171"/>
    <mergeCell ref="N171:O171"/>
    <mergeCell ref="A172:F172"/>
    <mergeCell ref="J172:M172"/>
    <mergeCell ref="N172:O172"/>
    <mergeCell ref="A173:F173"/>
    <mergeCell ref="J173:M173"/>
    <mergeCell ref="N173:O173"/>
    <mergeCell ref="A174:F174"/>
    <mergeCell ref="J174:M174"/>
    <mergeCell ref="N174:O174"/>
    <mergeCell ref="A175:F175"/>
    <mergeCell ref="J175:M175"/>
    <mergeCell ref="N175:O175"/>
    <mergeCell ref="A178:F178"/>
    <mergeCell ref="J178:M178"/>
    <mergeCell ref="N178:O178"/>
    <mergeCell ref="A176:F176"/>
    <mergeCell ref="J176:M176"/>
    <mergeCell ref="N176:O176"/>
    <mergeCell ref="A177:F177"/>
    <mergeCell ref="J177:M177"/>
    <mergeCell ref="N177:O177"/>
    <mergeCell ref="A179:F179"/>
    <mergeCell ref="J179:M179"/>
    <mergeCell ref="N179:O179"/>
    <mergeCell ref="A180:F180"/>
    <mergeCell ref="J180:M180"/>
    <mergeCell ref="N180:O180"/>
    <mergeCell ref="A181:F181"/>
    <mergeCell ref="J181:M181"/>
    <mergeCell ref="N181:O181"/>
    <mergeCell ref="A182:F182"/>
    <mergeCell ref="J182:M182"/>
    <mergeCell ref="N182:O182"/>
    <mergeCell ref="A183:F183"/>
    <mergeCell ref="J183:M183"/>
    <mergeCell ref="N183:O183"/>
    <mergeCell ref="A184:F184"/>
    <mergeCell ref="J184:M184"/>
    <mergeCell ref="N184:O184"/>
    <mergeCell ref="A185:F185"/>
    <mergeCell ref="J185:M185"/>
    <mergeCell ref="N185:O185"/>
    <mergeCell ref="A186:F186"/>
    <mergeCell ref="J186:M186"/>
    <mergeCell ref="N186:O186"/>
    <mergeCell ref="A187:F187"/>
    <mergeCell ref="J187:M187"/>
    <mergeCell ref="N187:O187"/>
    <mergeCell ref="A188:F188"/>
    <mergeCell ref="J188:M188"/>
    <mergeCell ref="N188:O188"/>
    <mergeCell ref="A189:F189"/>
    <mergeCell ref="J189:M189"/>
    <mergeCell ref="N189:O189"/>
    <mergeCell ref="A190:F190"/>
    <mergeCell ref="J190:M190"/>
    <mergeCell ref="N190:O190"/>
    <mergeCell ref="A191:F191"/>
    <mergeCell ref="J191:M191"/>
    <mergeCell ref="N191:O191"/>
    <mergeCell ref="A192:F192"/>
    <mergeCell ref="J192:M192"/>
    <mergeCell ref="N192:O192"/>
    <mergeCell ref="A193:F193"/>
    <mergeCell ref="J193:M193"/>
    <mergeCell ref="N193:O193"/>
    <mergeCell ref="A194:F194"/>
    <mergeCell ref="J194:M194"/>
    <mergeCell ref="N194:O194"/>
    <mergeCell ref="A195:F195"/>
    <mergeCell ref="J195:M195"/>
    <mergeCell ref="N195:O195"/>
    <mergeCell ref="A196:F196"/>
    <mergeCell ref="J196:M196"/>
    <mergeCell ref="N196:O196"/>
    <mergeCell ref="A197:F197"/>
    <mergeCell ref="J197:M197"/>
    <mergeCell ref="N197:O197"/>
    <mergeCell ref="A198:F198"/>
    <mergeCell ref="J198:M198"/>
    <mergeCell ref="N198:O198"/>
    <mergeCell ref="A199:F199"/>
    <mergeCell ref="J199:M199"/>
    <mergeCell ref="N199:O199"/>
    <mergeCell ref="A200:F200"/>
    <mergeCell ref="J200:M200"/>
    <mergeCell ref="N200:O200"/>
    <mergeCell ref="A201:F201"/>
    <mergeCell ref="J201:M201"/>
    <mergeCell ref="N201:O201"/>
    <mergeCell ref="A202:F202"/>
    <mergeCell ref="J202:M202"/>
    <mergeCell ref="N202:O202"/>
    <mergeCell ref="A203:F203"/>
    <mergeCell ref="J203:M203"/>
    <mergeCell ref="N203:O203"/>
    <mergeCell ref="A204:F204"/>
    <mergeCell ref="J204:M204"/>
    <mergeCell ref="N204:O204"/>
    <mergeCell ref="A207:F207"/>
    <mergeCell ref="J207:M207"/>
    <mergeCell ref="N207:O207"/>
    <mergeCell ref="A205:F205"/>
    <mergeCell ref="J205:M205"/>
    <mergeCell ref="N205:O205"/>
    <mergeCell ref="A206:F206"/>
    <mergeCell ref="J206:M206"/>
    <mergeCell ref="N206:O206"/>
    <mergeCell ref="A210:F210"/>
    <mergeCell ref="J210:M210"/>
    <mergeCell ref="N210:O210"/>
    <mergeCell ref="A208:F208"/>
    <mergeCell ref="J208:M208"/>
    <mergeCell ref="N208:O208"/>
    <mergeCell ref="A209:F209"/>
    <mergeCell ref="J209:M209"/>
    <mergeCell ref="N209:O209"/>
    <mergeCell ref="A213:F213"/>
    <mergeCell ref="J213:M213"/>
    <mergeCell ref="N213:O213"/>
    <mergeCell ref="A211:F211"/>
    <mergeCell ref="J211:M211"/>
    <mergeCell ref="N211:O211"/>
    <mergeCell ref="A212:F212"/>
    <mergeCell ref="J212:M212"/>
    <mergeCell ref="N212:O212"/>
    <mergeCell ref="A214:F214"/>
    <mergeCell ref="J214:M214"/>
    <mergeCell ref="N214:O214"/>
    <mergeCell ref="A215:F215"/>
    <mergeCell ref="J215:M215"/>
    <mergeCell ref="N215:O215"/>
    <mergeCell ref="A217:F217"/>
    <mergeCell ref="J217:M217"/>
    <mergeCell ref="N217:O217"/>
    <mergeCell ref="A216:F216"/>
    <mergeCell ref="J216:M216"/>
    <mergeCell ref="N216:O216"/>
    <mergeCell ref="A218:F218"/>
    <mergeCell ref="J218:M218"/>
    <mergeCell ref="N218:O218"/>
    <mergeCell ref="A219:F219"/>
    <mergeCell ref="J219:M219"/>
    <mergeCell ref="N219:O219"/>
    <mergeCell ref="A220:F220"/>
    <mergeCell ref="J220:M220"/>
    <mergeCell ref="N220:O220"/>
    <mergeCell ref="A221:F221"/>
    <mergeCell ref="J221:M221"/>
    <mergeCell ref="N221:O221"/>
    <mergeCell ref="A224:F224"/>
    <mergeCell ref="J224:M224"/>
    <mergeCell ref="N224:O224"/>
    <mergeCell ref="A222:F222"/>
    <mergeCell ref="J222:M222"/>
    <mergeCell ref="N222:O222"/>
    <mergeCell ref="A223:F223"/>
    <mergeCell ref="J223:M223"/>
    <mergeCell ref="N223:O223"/>
    <mergeCell ref="A226:F226"/>
    <mergeCell ref="J226:M226"/>
    <mergeCell ref="N226:O226"/>
    <mergeCell ref="A225:F225"/>
    <mergeCell ref="J225:M225"/>
    <mergeCell ref="N225:O225"/>
    <mergeCell ref="A227:F227"/>
    <mergeCell ref="J227:M227"/>
    <mergeCell ref="N227:O227"/>
    <mergeCell ref="A228:F228"/>
    <mergeCell ref="J228:M228"/>
    <mergeCell ref="N228:O228"/>
    <mergeCell ref="A229:F229"/>
    <mergeCell ref="J229:M229"/>
    <mergeCell ref="N229:O229"/>
    <mergeCell ref="A230:F230"/>
    <mergeCell ref="J230:M230"/>
    <mergeCell ref="N230:O230"/>
    <mergeCell ref="A231:F231"/>
    <mergeCell ref="J231:M231"/>
    <mergeCell ref="N231:O231"/>
    <mergeCell ref="A232:F232"/>
    <mergeCell ref="J232:M232"/>
    <mergeCell ref="N232:O232"/>
    <mergeCell ref="A233:F233"/>
    <mergeCell ref="J233:M233"/>
    <mergeCell ref="N233:O233"/>
    <mergeCell ref="A234:F234"/>
    <mergeCell ref="J234:M234"/>
    <mergeCell ref="N234:O234"/>
    <mergeCell ref="A235:F235"/>
    <mergeCell ref="J235:M235"/>
    <mergeCell ref="N235:O235"/>
    <mergeCell ref="A236:F236"/>
    <mergeCell ref="J236:M236"/>
    <mergeCell ref="N236:O236"/>
    <mergeCell ref="A237:F237"/>
    <mergeCell ref="J237:M237"/>
    <mergeCell ref="N237:O237"/>
    <mergeCell ref="A238:F238"/>
    <mergeCell ref="J238:M238"/>
    <mergeCell ref="N238:O238"/>
    <mergeCell ref="A239:F239"/>
    <mergeCell ref="J239:M239"/>
    <mergeCell ref="N239:O239"/>
    <mergeCell ref="A240:F240"/>
    <mergeCell ref="J240:M240"/>
    <mergeCell ref="N240:O240"/>
    <mergeCell ref="A241:F241"/>
    <mergeCell ref="J241:M241"/>
    <mergeCell ref="N241:O241"/>
    <mergeCell ref="A242:F242"/>
    <mergeCell ref="J242:M242"/>
    <mergeCell ref="N242:O242"/>
    <mergeCell ref="A243:F243"/>
    <mergeCell ref="J243:M243"/>
    <mergeCell ref="N243:O243"/>
    <mergeCell ref="A244:F244"/>
    <mergeCell ref="J244:M244"/>
    <mergeCell ref="N244:O244"/>
    <mergeCell ref="A245:F245"/>
    <mergeCell ref="J245:M245"/>
    <mergeCell ref="N245:O245"/>
    <mergeCell ref="A246:F246"/>
    <mergeCell ref="J246:M246"/>
    <mergeCell ref="N246:O246"/>
    <mergeCell ref="A249:F249"/>
    <mergeCell ref="J249:M249"/>
    <mergeCell ref="N249:O249"/>
    <mergeCell ref="A247:F247"/>
    <mergeCell ref="J247:M247"/>
    <mergeCell ref="N247:O247"/>
    <mergeCell ref="A248:F248"/>
    <mergeCell ref="J248:M248"/>
    <mergeCell ref="N248:O248"/>
    <mergeCell ref="A250:F250"/>
    <mergeCell ref="J250:M250"/>
    <mergeCell ref="N250:O250"/>
    <mergeCell ref="A251:F251"/>
    <mergeCell ref="J251:M251"/>
    <mergeCell ref="N251:O251"/>
    <mergeCell ref="A252:F252"/>
    <mergeCell ref="J252:M252"/>
    <mergeCell ref="N252:O252"/>
    <mergeCell ref="A253:F253"/>
    <mergeCell ref="J253:M253"/>
    <mergeCell ref="N253:O253"/>
    <mergeCell ref="A254:F254"/>
    <mergeCell ref="J254:M254"/>
    <mergeCell ref="N254:O254"/>
    <mergeCell ref="A255:F255"/>
    <mergeCell ref="J255:M255"/>
    <mergeCell ref="N255:O255"/>
    <mergeCell ref="A256:F256"/>
    <mergeCell ref="J256:M256"/>
    <mergeCell ref="N256:O256"/>
    <mergeCell ref="A257:F257"/>
    <mergeCell ref="J257:M257"/>
    <mergeCell ref="N257:O257"/>
    <mergeCell ref="A258:F258"/>
    <mergeCell ref="J258:M258"/>
    <mergeCell ref="N258:O258"/>
    <mergeCell ref="A259:F259"/>
    <mergeCell ref="J259:M259"/>
    <mergeCell ref="N259:O259"/>
    <mergeCell ref="A260:F260"/>
    <mergeCell ref="J260:M260"/>
    <mergeCell ref="N260:O260"/>
    <mergeCell ref="A261:F261"/>
    <mergeCell ref="J261:M261"/>
    <mergeCell ref="N261:O261"/>
    <mergeCell ref="A262:F262"/>
    <mergeCell ref="J262:M262"/>
    <mergeCell ref="N262:O262"/>
    <mergeCell ref="A263:F263"/>
    <mergeCell ref="J263:M263"/>
    <mergeCell ref="N263:O263"/>
    <mergeCell ref="A264:F264"/>
    <mergeCell ref="J264:M264"/>
    <mergeCell ref="N264:O264"/>
    <mergeCell ref="A265:F265"/>
    <mergeCell ref="J265:M265"/>
    <mergeCell ref="N265:O265"/>
    <mergeCell ref="A266:F266"/>
    <mergeCell ref="J266:M266"/>
    <mergeCell ref="N266:O266"/>
    <mergeCell ref="A267:F267"/>
    <mergeCell ref="J267:M267"/>
    <mergeCell ref="N267:O267"/>
    <mergeCell ref="A268:F268"/>
    <mergeCell ref="J268:M268"/>
    <mergeCell ref="N268:O268"/>
    <mergeCell ref="A269:F269"/>
    <mergeCell ref="J269:M269"/>
    <mergeCell ref="N269:O269"/>
    <mergeCell ref="A270:F270"/>
    <mergeCell ref="J270:M270"/>
    <mergeCell ref="N270:O270"/>
    <mergeCell ref="A271:F271"/>
    <mergeCell ref="J271:M271"/>
    <mergeCell ref="N271:O271"/>
    <mergeCell ref="A272:F272"/>
    <mergeCell ref="J272:M272"/>
    <mergeCell ref="N272:O272"/>
    <mergeCell ref="A273:F273"/>
    <mergeCell ref="J273:M273"/>
    <mergeCell ref="N273:O273"/>
    <mergeCell ref="A274:F274"/>
    <mergeCell ref="J274:M274"/>
    <mergeCell ref="N274:O274"/>
    <mergeCell ref="A275:F275"/>
    <mergeCell ref="J275:M275"/>
    <mergeCell ref="N275:O275"/>
    <mergeCell ref="A276:F276"/>
    <mergeCell ref="J276:M276"/>
    <mergeCell ref="N276:O276"/>
    <mergeCell ref="A277:F277"/>
    <mergeCell ref="J277:M277"/>
    <mergeCell ref="N277:O277"/>
    <mergeCell ref="A278:F278"/>
    <mergeCell ref="J278:M278"/>
    <mergeCell ref="N278:O278"/>
    <mergeCell ref="A279:F279"/>
    <mergeCell ref="J279:M279"/>
    <mergeCell ref="N279:O279"/>
    <mergeCell ref="A280:F280"/>
    <mergeCell ref="J280:M280"/>
    <mergeCell ref="N280:O280"/>
    <mergeCell ref="A281:F281"/>
    <mergeCell ref="J281:M281"/>
    <mergeCell ref="N281:O281"/>
    <mergeCell ref="A282:F282"/>
    <mergeCell ref="J282:M282"/>
    <mergeCell ref="N282:O282"/>
    <mergeCell ref="A283:F283"/>
    <mergeCell ref="J283:M283"/>
    <mergeCell ref="N283:O283"/>
    <mergeCell ref="A284:F284"/>
    <mergeCell ref="J284:M284"/>
    <mergeCell ref="N284:O284"/>
    <mergeCell ref="A285:F285"/>
    <mergeCell ref="J285:M285"/>
    <mergeCell ref="N285:O285"/>
    <mergeCell ref="A286:F286"/>
    <mergeCell ref="J286:M286"/>
    <mergeCell ref="N286:O286"/>
    <mergeCell ref="A287:F287"/>
    <mergeCell ref="J287:M287"/>
    <mergeCell ref="N287:O287"/>
    <mergeCell ref="A288:F288"/>
    <mergeCell ref="J288:M288"/>
    <mergeCell ref="N288:O288"/>
    <mergeCell ref="A289:F289"/>
    <mergeCell ref="J289:M289"/>
    <mergeCell ref="N289:O289"/>
    <mergeCell ref="A290:F290"/>
    <mergeCell ref="J290:M290"/>
    <mergeCell ref="N290:O290"/>
    <mergeCell ref="A291:F291"/>
    <mergeCell ref="J291:M291"/>
    <mergeCell ref="N291:O291"/>
    <mergeCell ref="A292:F292"/>
    <mergeCell ref="J292:M292"/>
    <mergeCell ref="N292:O292"/>
    <mergeCell ref="A293:F293"/>
    <mergeCell ref="J293:M293"/>
    <mergeCell ref="N293:O293"/>
    <mergeCell ref="A296:F296"/>
    <mergeCell ref="J296:M296"/>
    <mergeCell ref="N296:O296"/>
    <mergeCell ref="A294:F294"/>
    <mergeCell ref="J294:M294"/>
    <mergeCell ref="N294:O294"/>
    <mergeCell ref="A295:F295"/>
    <mergeCell ref="J295:M295"/>
    <mergeCell ref="N295:O295"/>
    <mergeCell ref="A297:F297"/>
    <mergeCell ref="J297:M297"/>
    <mergeCell ref="N297:O297"/>
    <mergeCell ref="A298:F298"/>
    <mergeCell ref="J298:M298"/>
    <mergeCell ref="N298:O298"/>
    <mergeCell ref="A301:F301"/>
    <mergeCell ref="J301:M301"/>
    <mergeCell ref="N301:O301"/>
    <mergeCell ref="A299:F299"/>
    <mergeCell ref="J299:M299"/>
    <mergeCell ref="N299:O299"/>
    <mergeCell ref="A300:F300"/>
    <mergeCell ref="J300:M300"/>
    <mergeCell ref="N300:O300"/>
    <mergeCell ref="A302:F302"/>
    <mergeCell ref="J302:M302"/>
    <mergeCell ref="N302:O302"/>
    <mergeCell ref="A303:F303"/>
    <mergeCell ref="J303:M303"/>
    <mergeCell ref="N303:O303"/>
    <mergeCell ref="A304:F304"/>
    <mergeCell ref="J304:M304"/>
    <mergeCell ref="N304:O304"/>
    <mergeCell ref="A305:F305"/>
    <mergeCell ref="J305:M305"/>
    <mergeCell ref="N305:O305"/>
    <mergeCell ref="A306:F306"/>
    <mergeCell ref="J306:M306"/>
    <mergeCell ref="N306:O306"/>
    <mergeCell ref="A307:F307"/>
    <mergeCell ref="J307:M307"/>
    <mergeCell ref="N307:O307"/>
    <mergeCell ref="A308:F308"/>
    <mergeCell ref="J308:M308"/>
    <mergeCell ref="N308:O308"/>
    <mergeCell ref="A309:F309"/>
    <mergeCell ref="J309:M309"/>
    <mergeCell ref="N309:O309"/>
    <mergeCell ref="A310:F310"/>
    <mergeCell ref="J310:M310"/>
    <mergeCell ref="N310:O310"/>
    <mergeCell ref="A311:F311"/>
    <mergeCell ref="J311:M311"/>
    <mergeCell ref="N311:O311"/>
    <mergeCell ref="A312:F312"/>
    <mergeCell ref="J312:M312"/>
    <mergeCell ref="N312:O312"/>
    <mergeCell ref="A313:F313"/>
    <mergeCell ref="J313:M313"/>
    <mergeCell ref="N313:O313"/>
    <mergeCell ref="A314:F314"/>
    <mergeCell ref="J314:M314"/>
    <mergeCell ref="N314:O314"/>
    <mergeCell ref="A315:F315"/>
    <mergeCell ref="J315:M315"/>
    <mergeCell ref="N315:O315"/>
    <mergeCell ref="A316:F316"/>
    <mergeCell ref="J316:M316"/>
    <mergeCell ref="N316:O316"/>
    <mergeCell ref="A317:F317"/>
    <mergeCell ref="J317:M317"/>
    <mergeCell ref="N317:O317"/>
    <mergeCell ref="A320:F320"/>
    <mergeCell ref="J320:M320"/>
    <mergeCell ref="N320:O320"/>
    <mergeCell ref="A318:F318"/>
    <mergeCell ref="J318:M318"/>
    <mergeCell ref="N318:O318"/>
    <mergeCell ref="A319:F319"/>
    <mergeCell ref="J319:M319"/>
    <mergeCell ref="N319:O319"/>
    <mergeCell ref="A321:F321"/>
    <mergeCell ref="J321:M321"/>
    <mergeCell ref="N321:O321"/>
    <mergeCell ref="A322:F322"/>
    <mergeCell ref="J322:M322"/>
    <mergeCell ref="N322:O322"/>
    <mergeCell ref="A323:F323"/>
    <mergeCell ref="J323:M323"/>
    <mergeCell ref="N323:O323"/>
    <mergeCell ref="A324:F324"/>
    <mergeCell ref="J324:M324"/>
    <mergeCell ref="N324:O324"/>
    <mergeCell ref="A325:F325"/>
    <mergeCell ref="J325:M325"/>
    <mergeCell ref="N325:O325"/>
    <mergeCell ref="A326:F326"/>
    <mergeCell ref="J326:M326"/>
    <mergeCell ref="N326:O326"/>
    <mergeCell ref="A327:F327"/>
    <mergeCell ref="J327:M327"/>
    <mergeCell ref="N327:O327"/>
    <mergeCell ref="A328:F328"/>
    <mergeCell ref="J328:M328"/>
    <mergeCell ref="N328:O328"/>
    <mergeCell ref="A329:F329"/>
    <mergeCell ref="J329:M329"/>
    <mergeCell ref="N329:O329"/>
    <mergeCell ref="A330:F330"/>
    <mergeCell ref="J330:M330"/>
    <mergeCell ref="N330:O330"/>
    <mergeCell ref="A331:F331"/>
    <mergeCell ref="J331:M331"/>
    <mergeCell ref="N331:O331"/>
    <mergeCell ref="A332:F332"/>
    <mergeCell ref="J332:M332"/>
    <mergeCell ref="N332:O332"/>
    <mergeCell ref="A333:F333"/>
    <mergeCell ref="J333:M333"/>
    <mergeCell ref="N333:O333"/>
    <mergeCell ref="A334:F334"/>
    <mergeCell ref="J334:M334"/>
    <mergeCell ref="N334:O334"/>
    <mergeCell ref="A335:F335"/>
    <mergeCell ref="J335:M335"/>
    <mergeCell ref="N335:O335"/>
    <mergeCell ref="A336:F336"/>
    <mergeCell ref="J336:M336"/>
    <mergeCell ref="N336:O336"/>
    <mergeCell ref="A337:F337"/>
    <mergeCell ref="J337:M337"/>
    <mergeCell ref="N337:O337"/>
    <mergeCell ref="A338:F338"/>
    <mergeCell ref="J338:M338"/>
    <mergeCell ref="N338:O338"/>
    <mergeCell ref="A341:F341"/>
    <mergeCell ref="J341:M341"/>
    <mergeCell ref="N341:O341"/>
    <mergeCell ref="A339:F339"/>
    <mergeCell ref="J339:M339"/>
    <mergeCell ref="N339:O339"/>
    <mergeCell ref="A340:F340"/>
    <mergeCell ref="J340:M340"/>
    <mergeCell ref="N340:O340"/>
    <mergeCell ref="A342:F342"/>
    <mergeCell ref="J342:M342"/>
    <mergeCell ref="N342:O342"/>
    <mergeCell ref="A343:F343"/>
    <mergeCell ref="J343:M343"/>
    <mergeCell ref="N343:O343"/>
    <mergeCell ref="A344:F344"/>
    <mergeCell ref="J344:M344"/>
    <mergeCell ref="N344:O344"/>
    <mergeCell ref="A345:F345"/>
    <mergeCell ref="J345:M345"/>
    <mergeCell ref="N345:O345"/>
    <mergeCell ref="A346:F346"/>
    <mergeCell ref="J346:M346"/>
    <mergeCell ref="N346:O346"/>
    <mergeCell ref="A347:O347"/>
    <mergeCell ref="A348:O348"/>
    <mergeCell ref="A349:F349"/>
    <mergeCell ref="J349:M349"/>
    <mergeCell ref="N349:O349"/>
    <mergeCell ref="A350:F350"/>
    <mergeCell ref="J350:M350"/>
    <mergeCell ref="N350:O350"/>
    <mergeCell ref="A351:F351"/>
    <mergeCell ref="J351:M351"/>
    <mergeCell ref="N351:O351"/>
    <mergeCell ref="A355:O355"/>
    <mergeCell ref="A356:F356"/>
    <mergeCell ref="J356:M356"/>
    <mergeCell ref="N356:O356"/>
    <mergeCell ref="A352:F352"/>
    <mergeCell ref="J352:M352"/>
    <mergeCell ref="N352:O352"/>
    <mergeCell ref="A353:F353"/>
    <mergeCell ref="J353:M353"/>
    <mergeCell ref="N353:O353"/>
    <mergeCell ref="A360:F360"/>
    <mergeCell ref="J360:M360"/>
    <mergeCell ref="N360:O360"/>
    <mergeCell ref="A357:F357"/>
    <mergeCell ref="J357:M357"/>
    <mergeCell ref="N357:O357"/>
    <mergeCell ref="A358:F358"/>
    <mergeCell ref="J358:M358"/>
    <mergeCell ref="N358:O358"/>
    <mergeCell ref="J1:O1"/>
    <mergeCell ref="J2:O2"/>
    <mergeCell ref="J3:O3"/>
    <mergeCell ref="J4:O4"/>
    <mergeCell ref="A359:F359"/>
    <mergeCell ref="J359:M359"/>
    <mergeCell ref="N359:O359"/>
    <mergeCell ref="A354:F354"/>
    <mergeCell ref="J354:M354"/>
    <mergeCell ref="N354:O354"/>
  </mergeCells>
  <printOptions/>
  <pageMargins left="1.3779527559055118" right="0" top="0.3937007874015748" bottom="0" header="0.5118110236220472" footer="0.5118110236220472"/>
  <pageSetup horizontalDpi="600" verticalDpi="600" orientation="portrait" paperSize="9" scale="60" r:id="rId1"/>
  <headerFooter alignWithMargins="0">
    <oddFooter>&amp;CСтраница &amp;С из &amp;К</oddFooter>
  </headerFooter>
  <rowBreaks count="2" manualBreakCount="2">
    <brk id="86" max="255" man="1"/>
    <brk id="3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cp:lastPrinted>2016-11-15T09:41:38Z</cp:lastPrinted>
  <dcterms:modified xsi:type="dcterms:W3CDTF">2016-11-15T09:45:36Z</dcterms:modified>
  <cp:category/>
  <cp:version/>
  <cp:contentType/>
  <cp:contentStatus/>
</cp:coreProperties>
</file>